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035" firstSheet="1" activeTab="4"/>
  </bookViews>
  <sheets>
    <sheet name="0 Information" sheetId="1" r:id="rId1"/>
    <sheet name="Accommodation" sheetId="2" r:id="rId2"/>
    <sheet name="Travel" sheetId="3" r:id="rId3"/>
    <sheet name="Complementary List" sheetId="4" r:id="rId4"/>
    <sheet name="Complementary List Travel" sheetId="5" r:id="rId5"/>
    <sheet name="Informations" sheetId="6" state="hidden" r:id="rId6"/>
  </sheets>
  <definedNames>
    <definedName name="_EM1" localSheetId="4">'Complementary List Travel'!$R$21</definedName>
    <definedName name="_EM1" localSheetId="2">'Travel'!$R$21</definedName>
    <definedName name="_EM1">'Accommodation'!$U$21</definedName>
    <definedName name="_EM2" localSheetId="4">'Complementary List Travel'!$R$22</definedName>
    <definedName name="_EM2" localSheetId="2">'Travel'!$R$22</definedName>
    <definedName name="_EM2">'Accommodation'!$U$22</definedName>
    <definedName name="_EMFULL" localSheetId="4">'Complementary List Travel'!$R$23</definedName>
    <definedName name="_EMFULL" localSheetId="2">'Travel'!$R$23</definedName>
    <definedName name="_EMFULL">'Accommodation'!$U$23</definedName>
    <definedName name="_EN1" localSheetId="4">'Complementary List Travel'!$R$24</definedName>
    <definedName name="_EN1" localSheetId="2">'Travel'!$R$24</definedName>
    <definedName name="_EN1">'Accommodation'!$U$24</definedName>
    <definedName name="_EN2" localSheetId="4">'Complementary List Travel'!$R$25</definedName>
    <definedName name="_EN2" localSheetId="2">'Travel'!$R$25</definedName>
    <definedName name="_EN2">'Accommodation'!$U$25</definedName>
    <definedName name="_ENFULL" localSheetId="4">'Complementary List Travel'!#REF!</definedName>
    <definedName name="_ENFULL" localSheetId="2">'Travel'!#REF!</definedName>
    <definedName name="_ENFULL">'Accommodation'!$U$26</definedName>
    <definedName name="list_cat">'Informations'!$K$1:$K$6</definedName>
    <definedName name="List_Chambres">'Informations'!$E$1:$E$3</definedName>
    <definedName name="List_Package">'Informations'!$M$1:$M$3</definedName>
    <definedName name="List_Sex">'Informations'!$H$1:$H$2</definedName>
    <definedName name="List_Transport">'Informations'!$Q$1:$Q$3</definedName>
    <definedName name="PACK1" localSheetId="4">'Complementary List Travel'!$R$18</definedName>
    <definedName name="PACK1" localSheetId="2">'Travel'!$R$18</definedName>
    <definedName name="PACK1">'Accommodation'!$U$18</definedName>
    <definedName name="PACK2" localSheetId="4">'Complementary List Travel'!$R$19</definedName>
    <definedName name="PACK2" localSheetId="2">'Travel'!$R$19</definedName>
    <definedName name="PACK2">'Accommodation'!$U$19</definedName>
    <definedName name="PACKFULL" localSheetId="4">'Complementary List Travel'!$R$20</definedName>
    <definedName name="PACKFULL" localSheetId="2">'Travel'!$R$20</definedName>
    <definedName name="PACKFULL">'Accommodation'!$U$20</definedName>
    <definedName name="_xlnm.Print_Area" localSheetId="1">'Accommodation'!$A$1:$P$38</definedName>
    <definedName name="_xlnm.Print_Area" localSheetId="3">'Complementary List'!$A$1:$P$38</definedName>
    <definedName name="_xlnm.Print_Area" localSheetId="4">'Complementary List Travel'!$A$1:$M$25</definedName>
    <definedName name="_xlnm.Print_Area" localSheetId="2">'Travel'!$A$1:$M$25</definedName>
  </definedNames>
  <calcPr fullCalcOnLoad="1"/>
</workbook>
</file>

<file path=xl/sharedStrings.xml><?xml version="1.0" encoding="utf-8"?>
<sst xmlns="http://schemas.openxmlformats.org/spreadsheetml/2006/main" count="320" uniqueCount="139">
  <si>
    <t>http://www.eurominichamps.com</t>
  </si>
  <si>
    <t>To All Associations</t>
  </si>
  <si>
    <t>Hereafter are the instructions to proceed with the FINAL ENTRY FORM.
We encourage all the associations to fill the excel file and send it by e-mail instead on faxing it.
Please remind to send to the Org. Committee AND the Competition Manager</t>
  </si>
  <si>
    <t>COMPETITION MANAGER</t>
  </si>
  <si>
    <t>ORGANISING COMMITTEE</t>
  </si>
  <si>
    <t>Mrs Claude BERGERET</t>
  </si>
  <si>
    <t>French TT Association</t>
  </si>
  <si>
    <t>INSTRUCTIONS</t>
  </si>
  <si>
    <t>A</t>
  </si>
  <si>
    <t xml:space="preserve">From the Table Tennis Association of: </t>
  </si>
  <si>
    <t>No.</t>
  </si>
  <si>
    <t>Transport</t>
  </si>
  <si>
    <t>Arrival</t>
  </si>
  <si>
    <t>Departure</t>
  </si>
  <si>
    <t>Package</t>
  </si>
  <si>
    <t>Amount</t>
  </si>
  <si>
    <t>SURNAME</t>
  </si>
  <si>
    <t>EM</t>
  </si>
  <si>
    <t>EN</t>
  </si>
  <si>
    <t>PACK</t>
  </si>
  <si>
    <t>SR</t>
  </si>
  <si>
    <t>LC1SR</t>
  </si>
  <si>
    <t>LC1DR</t>
  </si>
  <si>
    <t>LC1TR</t>
  </si>
  <si>
    <t>LC2SR</t>
  </si>
  <si>
    <t>LC2DR</t>
  </si>
  <si>
    <t>FPSR</t>
  </si>
  <si>
    <t>FPDR</t>
  </si>
  <si>
    <t>PACK1</t>
  </si>
  <si>
    <t>PACK2</t>
  </si>
  <si>
    <t>PACKFULL</t>
  </si>
  <si>
    <t>EM1</t>
  </si>
  <si>
    <t>EM2</t>
  </si>
  <si>
    <t>EMFULL</t>
  </si>
  <si>
    <t>EN1</t>
  </si>
  <si>
    <t>EN2</t>
  </si>
  <si>
    <t>ENFULL</t>
  </si>
  <si>
    <t xml:space="preserve"> 1 Invited coach (if 10 players) :</t>
  </si>
  <si>
    <t>Total Amount:</t>
  </si>
  <si>
    <t>Signature:</t>
  </si>
  <si>
    <t>M</t>
  </si>
  <si>
    <t>Position in</t>
  </si>
  <si>
    <t>COA</t>
  </si>
  <si>
    <t>Association:</t>
  </si>
  <si>
    <t>ACC</t>
  </si>
  <si>
    <t>T</t>
  </si>
  <si>
    <t>Date:</t>
  </si>
  <si>
    <t>DR</t>
  </si>
  <si>
    <t>Name</t>
  </si>
  <si>
    <t>Born</t>
  </si>
  <si>
    <t>(date)</t>
  </si>
  <si>
    <t>Function or</t>
  </si>
  <si>
    <t>Categorie</t>
  </si>
  <si>
    <t>Example</t>
  </si>
  <si>
    <t>BOLL</t>
  </si>
  <si>
    <t>Timo</t>
  </si>
  <si>
    <t>Sex</t>
  </si>
  <si>
    <t>(Choice)</t>
  </si>
  <si>
    <t>Check-in</t>
  </si>
  <si>
    <t>Check-out</t>
  </si>
  <si>
    <t>Room</t>
  </si>
  <si>
    <t>Nb nights</t>
  </si>
  <si>
    <t>Extra Night</t>
  </si>
  <si>
    <t>Extra Meal</t>
  </si>
  <si>
    <t>(if double or triple)</t>
  </si>
  <si>
    <t>Euro €</t>
  </si>
  <si>
    <t>(Number)</t>
  </si>
  <si>
    <t>(date if player)</t>
  </si>
  <si>
    <t>Prize</t>
  </si>
  <si>
    <t>Début</t>
  </si>
  <si>
    <t>Single</t>
  </si>
  <si>
    <t>Male</t>
  </si>
  <si>
    <t>Coach</t>
  </si>
  <si>
    <t>Airplane</t>
  </si>
  <si>
    <t>Fin</t>
  </si>
  <si>
    <t>Double</t>
  </si>
  <si>
    <t>Female</t>
  </si>
  <si>
    <t>W</t>
  </si>
  <si>
    <t>Other accompanying person</t>
  </si>
  <si>
    <t>Car</t>
  </si>
  <si>
    <t>Edition</t>
  </si>
  <si>
    <t>TR</t>
  </si>
  <si>
    <t>Triple</t>
  </si>
  <si>
    <t>Boys born on 1st January 2003 or after</t>
  </si>
  <si>
    <t>Train</t>
  </si>
  <si>
    <t>Lieu</t>
  </si>
  <si>
    <t>SCHILTIGHEIM</t>
  </si>
  <si>
    <t>Boys born on 1st January 2004 or after</t>
  </si>
  <si>
    <t>EN low</t>
  </si>
  <si>
    <t>Site internet</t>
  </si>
  <si>
    <t>Girls born on 1st January 2003 or after</t>
  </si>
  <si>
    <t>EN Full</t>
  </si>
  <si>
    <t>Girls born on 1st January 2004 or after</t>
  </si>
  <si>
    <t>Lieu&amp;date</t>
  </si>
  <si>
    <t>Date courrier</t>
  </si>
  <si>
    <t>Deadline ACC</t>
  </si>
  <si>
    <t>Deadline TRAV</t>
  </si>
  <si>
    <t>STEGER</t>
  </si>
  <si>
    <t>With &lt;SURNAME&gt;</t>
  </si>
  <si>
    <t>Means of</t>
  </si>
  <si>
    <t>From</t>
  </si>
  <si>
    <t>(City)</t>
  </si>
  <si>
    <t>(Time)</t>
  </si>
  <si>
    <t>Fligh</t>
  </si>
  <si>
    <t>(Date)</t>
  </si>
  <si>
    <t>FRANCKFORT</t>
  </si>
  <si>
    <t xml:space="preserve"> - </t>
  </si>
  <si>
    <t>LX587</t>
  </si>
  <si>
    <t>Travel Details</t>
  </si>
  <si>
    <t>Category</t>
  </si>
  <si>
    <t>If you have more than 10 players and 5 coaches, using Complementary List and Travel Form</t>
  </si>
  <si>
    <t>Complementary Travel Details</t>
  </si>
  <si>
    <t>C1</t>
  </si>
  <si>
    <t>T1</t>
  </si>
  <si>
    <t>Option</t>
  </si>
  <si>
    <t>Option 1</t>
  </si>
  <si>
    <t>Option 2</t>
  </si>
  <si>
    <t>Option 2 Single</t>
  </si>
  <si>
    <t>Option 2 Double</t>
  </si>
  <si>
    <t>Option 2 Triple</t>
  </si>
  <si>
    <t>Option 1 Single</t>
  </si>
  <si>
    <t>Option 1 Double</t>
  </si>
  <si>
    <t>Option 1 Triple</t>
  </si>
  <si>
    <t>claude.bergeret@fftt.email</t>
  </si>
  <si>
    <t>fftt@fftt.email</t>
  </si>
  <si>
    <t>Accommodation</t>
  </si>
  <si>
    <t>Complementary Accommodation</t>
  </si>
  <si>
    <t>Payment : Check or Bank Transfer in the order of L.A.T.T / Euro Mini Champ's
Bank : C.CM Strasbourg Europe 83, Avenue Jean-Jaures 67100 STRASBOURG
IBAN = FR76 1027 8010 0900 0200 6910 371 BIC = CMCIFR2A
In cash in euros on the spot with the arrival</t>
  </si>
  <si>
    <t>Badge coach only</t>
  </si>
  <si>
    <t>Badge Only</t>
  </si>
  <si>
    <t>Please complete the forms in order: first the Form A "Accommodation", then the Form T "Travel".</t>
  </si>
  <si>
    <t xml:space="preserve">Please complete first the Form A: "Accommodation" filling in all the names of participants. </t>
  </si>
  <si>
    <t>2007 BOYS</t>
  </si>
  <si>
    <t>2007 GIRLS</t>
  </si>
  <si>
    <t>Payment : Check or Bank Transfer in the order of L.G.E.T.T / Euro Mini Champ's
Bank : C.CM Strasbourg Europe 83, Avenue Jean-Jaures 67100 STRASBOURG
IBAN = FR76 1027 8010 0900 0219 0220 195 BIC = CMCIFR2A
In cash in euros on the spot with the arrival</t>
  </si>
  <si>
    <t>This form must be received by CM and OC before the 8th June 2019</t>
  </si>
  <si>
    <t>15th Euro Mini Champ's</t>
  </si>
  <si>
    <t>2008 BOYS</t>
  </si>
  <si>
    <t>2008 GIRLS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</si>
</sst>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00"/>
    <numFmt numFmtId="175" formatCode="dd/mm/yy;@"/>
    <numFmt numFmtId="176" formatCode="h:mm;@"/>
    <numFmt numFmtId="177" formatCode="dd\-mm\-yy;@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DD0806"/>
      <name val="Verdana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0" borderId="3" applyNumberFormat="0" applyAlignment="0" applyProtection="0"/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5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70" fontId="2" fillId="0" borderId="0" xfId="62" applyFont="1" applyFill="1" applyBorder="1" applyAlignment="1" applyProtection="1">
      <alignment horizontal="center" vertical="center"/>
      <protection/>
    </xf>
    <xf numFmtId="170" fontId="2" fillId="0" borderId="0" xfId="37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0" fontId="0" fillId="0" borderId="0" xfId="37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0" fontId="11" fillId="0" borderId="0" xfId="37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0" fontId="11" fillId="34" borderId="0" xfId="37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170" fontId="0" fillId="0" borderId="0" xfId="62" applyFont="1" applyAlignment="1">
      <alignment vertical="center"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174" fontId="21" fillId="0" borderId="12" xfId="0" applyNumberFormat="1" applyFont="1" applyBorder="1" applyAlignment="1" applyProtection="1">
      <alignment horizontal="center" vertical="center" shrinkToFit="1"/>
      <protection locked="0"/>
    </xf>
    <xf numFmtId="170" fontId="21" fillId="0" borderId="12" xfId="37" applyNumberFormat="1" applyFont="1" applyBorder="1" applyAlignment="1" applyProtection="1">
      <alignment vertical="center" shrinkToFit="1"/>
      <protection/>
    </xf>
    <xf numFmtId="170" fontId="21" fillId="0" borderId="0" xfId="37" applyNumberFormat="1" applyFont="1" applyBorder="1" applyAlignment="1" applyProtection="1">
      <alignment vertical="center" shrinkToFit="1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5" fillId="0" borderId="13" xfId="0" applyFont="1" applyBorder="1" applyAlignment="1" applyProtection="1">
      <alignment horizontal="center" vertical="center" shrinkToFit="1"/>
      <protection/>
    </xf>
    <xf numFmtId="170" fontId="24" fillId="0" borderId="18" xfId="37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170" fontId="20" fillId="0" borderId="0" xfId="37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170" fontId="0" fillId="0" borderId="0" xfId="37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0" fontId="0" fillId="0" borderId="0" xfId="37" applyFont="1" applyAlignment="1">
      <alignment vertical="center"/>
    </xf>
    <xf numFmtId="0" fontId="11" fillId="0" borderId="10" xfId="0" applyFont="1" applyBorder="1" applyAlignment="1" applyProtection="1">
      <alignment vertical="center"/>
      <protection/>
    </xf>
    <xf numFmtId="0" fontId="27" fillId="0" borderId="16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175" fontId="21" fillId="0" borderId="12" xfId="0" applyNumberFormat="1" applyFont="1" applyBorder="1" applyAlignment="1" applyProtection="1">
      <alignment horizontal="center" vertical="center" shrinkToFit="1"/>
      <protection locked="0"/>
    </xf>
    <xf numFmtId="175" fontId="21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21" xfId="62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0" fontId="0" fillId="0" borderId="25" xfId="62" applyBorder="1" applyAlignment="1">
      <alignment/>
    </xf>
    <xf numFmtId="170" fontId="0" fillId="0" borderId="28" xfId="62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0" fontId="0" fillId="0" borderId="16" xfId="62" applyBorder="1" applyAlignment="1">
      <alignment/>
    </xf>
    <xf numFmtId="0" fontId="0" fillId="0" borderId="26" xfId="0" applyBorder="1" applyAlignment="1">
      <alignment/>
    </xf>
    <xf numFmtId="170" fontId="0" fillId="0" borderId="27" xfId="62" applyBorder="1" applyAlignment="1">
      <alignment/>
    </xf>
    <xf numFmtId="170" fontId="0" fillId="0" borderId="0" xfId="62" applyAlignment="1">
      <alignment/>
    </xf>
    <xf numFmtId="170" fontId="0" fillId="0" borderId="29" xfId="62" applyBorder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3" fillId="0" borderId="16" xfId="50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8" fillId="35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2" fillId="34" borderId="16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175" fontId="11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170" fontId="11" fillId="34" borderId="16" xfId="37" applyNumberFormat="1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vertical="center"/>
      <protection/>
    </xf>
    <xf numFmtId="1" fontId="21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/>
      <protection/>
    </xf>
    <xf numFmtId="170" fontId="21" fillId="0" borderId="12" xfId="37" applyNumberFormat="1" applyFont="1" applyBorder="1" applyAlignment="1" applyProtection="1">
      <alignment horizontal="center" vertical="center" shrinkToFit="1"/>
      <protection/>
    </xf>
    <xf numFmtId="20" fontId="11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 horizontal="center"/>
    </xf>
    <xf numFmtId="170" fontId="0" fillId="0" borderId="10" xfId="62" applyBorder="1" applyAlignment="1">
      <alignment/>
    </xf>
    <xf numFmtId="170" fontId="0" fillId="0" borderId="32" xfId="62" applyBorder="1" applyAlignment="1">
      <alignment/>
    </xf>
    <xf numFmtId="177" fontId="21" fillId="0" borderId="12" xfId="0" applyNumberFormat="1" applyFont="1" applyBorder="1" applyAlignment="1" applyProtection="1">
      <alignment horizontal="center" vertical="center" shrinkToFit="1"/>
      <protection locked="0"/>
    </xf>
    <xf numFmtId="177" fontId="11" fillId="34" borderId="16" xfId="0" applyNumberFormat="1" applyFont="1" applyFill="1" applyBorder="1" applyAlignment="1" applyProtection="1">
      <alignment horizontal="center" vertical="center"/>
      <protection/>
    </xf>
    <xf numFmtId="1" fontId="21" fillId="36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36" borderId="12" xfId="0" applyFont="1" applyFill="1" applyBorder="1" applyAlignment="1" applyProtection="1">
      <alignment horizontal="left" vertical="center" shrinkToFit="1"/>
      <protection/>
    </xf>
    <xf numFmtId="175" fontId="21" fillId="36" borderId="12" xfId="0" applyNumberFormat="1" applyFont="1" applyFill="1" applyBorder="1" applyAlignment="1" applyProtection="1">
      <alignment horizontal="center" vertical="center" shrinkToFit="1"/>
      <protection/>
    </xf>
    <xf numFmtId="174" fontId="21" fillId="36" borderId="12" xfId="0" applyNumberFormat="1" applyFont="1" applyFill="1" applyBorder="1" applyAlignment="1" applyProtection="1">
      <alignment horizontal="center" vertical="center" shrinkToFit="1"/>
      <protection locked="0"/>
    </xf>
    <xf numFmtId="176" fontId="21" fillId="36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36" borderId="12" xfId="0" applyFont="1" applyFill="1" applyBorder="1" applyAlignment="1" applyProtection="1">
      <alignment horizontal="center" vertical="center" shrinkToFit="1"/>
      <protection locked="0"/>
    </xf>
    <xf numFmtId="0" fontId="2" fillId="37" borderId="33" xfId="50" applyFont="1" applyFill="1" applyBorder="1" applyAlignment="1" applyProtection="1">
      <alignment horizontal="center" vertical="center"/>
      <protection/>
    </xf>
    <xf numFmtId="0" fontId="2" fillId="37" borderId="0" xfId="50" applyFont="1" applyFill="1" applyBorder="1" applyAlignment="1" applyProtection="1">
      <alignment horizontal="center" vertical="center"/>
      <protection/>
    </xf>
    <xf numFmtId="0" fontId="2" fillId="37" borderId="17" xfId="5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37" borderId="13" xfId="0" applyFont="1" applyFill="1" applyBorder="1" applyAlignment="1" quotePrefix="1">
      <alignment horizontal="center" vertical="center"/>
    </xf>
    <xf numFmtId="0" fontId="10" fillId="37" borderId="34" xfId="0" applyFont="1" applyFill="1" applyBorder="1" applyAlignment="1" quotePrefix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0" fontId="21" fillId="0" borderId="38" xfId="0" applyNumberFormat="1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center" vertical="center" shrinkToFit="1"/>
      <protection/>
    </xf>
    <xf numFmtId="170" fontId="20" fillId="0" borderId="38" xfId="37" applyNumberFormat="1" applyFont="1" applyBorder="1" applyAlignment="1" applyProtection="1">
      <alignment horizontal="center" vertical="center"/>
      <protection/>
    </xf>
    <xf numFmtId="170" fontId="20" fillId="0" borderId="18" xfId="37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18" fillId="33" borderId="38" xfId="0" applyFont="1" applyFill="1" applyBorder="1" applyAlignment="1" applyProtection="1">
      <alignment horizontal="center" vertical="center" shrinkToFit="1"/>
      <protection/>
    </xf>
    <xf numFmtId="0" fontId="18" fillId="33" borderId="39" xfId="0" applyFont="1" applyFill="1" applyBorder="1" applyAlignment="1" applyProtection="1">
      <alignment horizontal="center" vertical="center" shrinkToFit="1"/>
      <protection/>
    </xf>
    <xf numFmtId="0" fontId="18" fillId="33" borderId="18" xfId="0" applyFont="1" applyFill="1" applyBorder="1" applyAlignment="1" applyProtection="1">
      <alignment horizontal="center" vertical="center" shrinkToFit="1"/>
      <protection/>
    </xf>
    <xf numFmtId="0" fontId="24" fillId="33" borderId="38" xfId="0" applyFont="1" applyFill="1" applyBorder="1" applyAlignment="1" applyProtection="1">
      <alignment horizontal="center" vertical="center"/>
      <protection/>
    </xf>
    <xf numFmtId="0" fontId="24" fillId="33" borderId="39" xfId="0" applyFont="1" applyFill="1" applyBorder="1" applyAlignment="1" applyProtection="1">
      <alignment horizontal="center" vertical="center"/>
      <protection/>
    </xf>
    <xf numFmtId="0" fontId="24" fillId="33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0" fillId="33" borderId="38" xfId="0" applyFont="1" applyFill="1" applyBorder="1" applyAlignment="1" applyProtection="1">
      <alignment horizontal="center" vertical="center" shrinkToFit="1"/>
      <protection/>
    </xf>
    <xf numFmtId="0" fontId="30" fillId="33" borderId="39" xfId="0" applyFont="1" applyFill="1" applyBorder="1" applyAlignment="1" applyProtection="1">
      <alignment horizontal="center" vertical="center" shrinkToFit="1"/>
      <protection/>
    </xf>
    <xf numFmtId="0" fontId="30" fillId="33" borderId="18" xfId="0" applyFont="1" applyFill="1" applyBorder="1" applyAlignment="1" applyProtection="1">
      <alignment horizontal="center" vertical="center" shrinkToFit="1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170" fontId="21" fillId="0" borderId="18" xfId="0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Eur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9525</xdr:rowOff>
    </xdr:from>
    <xdr:to>
      <xdr:col>20</xdr:col>
      <xdr:colOff>95250</xdr:colOff>
      <xdr:row>4</xdr:row>
      <xdr:rowOff>104775</xdr:rowOff>
    </xdr:to>
    <xdr:pic>
      <xdr:nvPicPr>
        <xdr:cNvPr id="1" name="Picture 1" descr="em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525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28575</xdr:rowOff>
    </xdr:from>
    <xdr:to>
      <xdr:col>8</xdr:col>
      <xdr:colOff>0</xdr:colOff>
      <xdr:row>4</xdr:row>
      <xdr:rowOff>28575</xdr:rowOff>
    </xdr:to>
    <xdr:pic>
      <xdr:nvPicPr>
        <xdr:cNvPr id="1" name="Picture 36" descr="em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28575</xdr:rowOff>
    </xdr:from>
    <xdr:to>
      <xdr:col>8</xdr:col>
      <xdr:colOff>0</xdr:colOff>
      <xdr:row>4</xdr:row>
      <xdr:rowOff>28575</xdr:rowOff>
    </xdr:to>
    <xdr:pic>
      <xdr:nvPicPr>
        <xdr:cNvPr id="1" name="Picture 36" descr="em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28575</xdr:rowOff>
    </xdr:from>
    <xdr:to>
      <xdr:col>8</xdr:col>
      <xdr:colOff>0</xdr:colOff>
      <xdr:row>4</xdr:row>
      <xdr:rowOff>28575</xdr:rowOff>
    </xdr:to>
    <xdr:pic>
      <xdr:nvPicPr>
        <xdr:cNvPr id="1" name="Picture 36" descr="em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28575</xdr:rowOff>
    </xdr:from>
    <xdr:to>
      <xdr:col>8</xdr:col>
      <xdr:colOff>0</xdr:colOff>
      <xdr:row>4</xdr:row>
      <xdr:rowOff>28575</xdr:rowOff>
    </xdr:to>
    <xdr:pic>
      <xdr:nvPicPr>
        <xdr:cNvPr id="1" name="Picture 36" descr="em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tt@fftt.email" TargetMode="External" /><Relationship Id="rId2" Type="http://schemas.openxmlformats.org/officeDocument/2006/relationships/hyperlink" Target="mailto:claude.bergeret@fftt.email" TargetMode="External" /><Relationship Id="rId3" Type="http://schemas.openxmlformats.org/officeDocument/2006/relationships/hyperlink" Target="http://www.eurominichamps.com/" TargetMode="External" /><Relationship Id="rId4" Type="http://schemas.openxmlformats.org/officeDocument/2006/relationships/hyperlink" Target="mailto:claude.bergeret@fftt.emai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minichamp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5"/>
  <sheetViews>
    <sheetView showGridLines="0" showRowColHeaders="0" zoomScalePageLayoutView="0" workbookViewId="0" topLeftCell="A1">
      <selection activeCell="B10" sqref="B10:V12"/>
    </sheetView>
  </sheetViews>
  <sheetFormatPr defaultColWidth="0" defaultRowHeight="12.75" customHeight="1" zeroHeight="1"/>
  <cols>
    <col min="1" max="2" width="1.57421875" style="1" customWidth="1"/>
    <col min="3" max="3" width="2.57421875" style="1" customWidth="1"/>
    <col min="4" max="9" width="5.140625" style="1" customWidth="1"/>
    <col min="10" max="10" width="5.140625" style="2" customWidth="1"/>
    <col min="11" max="11" width="5.140625" style="1" customWidth="1"/>
    <col min="12" max="12" width="2.57421875" style="1" customWidth="1"/>
    <col min="13" max="19" width="5.140625" style="1" customWidth="1"/>
    <col min="20" max="21" width="1.57421875" style="1" customWidth="1"/>
    <col min="22" max="22" width="10.57421875" style="1" customWidth="1"/>
    <col min="23" max="16384" width="4.57421875" style="1" hidden="1" customWidth="1"/>
  </cols>
  <sheetData>
    <row r="1" ht="12.75"/>
    <row r="2" ht="15.75">
      <c r="J2" s="3" t="str">
        <f>Informations!$B$3</f>
        <v>15th Euro Mini Champ's</v>
      </c>
    </row>
    <row r="3" ht="15.75">
      <c r="J3" s="4" t="str">
        <f>Informations!B6</f>
        <v>SCHILTIGHEIM 23-25/08/2019</v>
      </c>
    </row>
    <row r="4" ht="15.75">
      <c r="J4" s="5" t="str">
        <f>Informations!$B$5</f>
        <v>http://www.eurominichamps.com</v>
      </c>
    </row>
    <row r="5" ht="12.75"/>
    <row r="6" spans="9:18" ht="15" customHeight="1">
      <c r="I6" s="6"/>
      <c r="R6" s="7"/>
    </row>
    <row r="7" spans="9:18" ht="12.75">
      <c r="I7" s="6"/>
      <c r="R7" s="8"/>
    </row>
    <row r="8" ht="15" customHeight="1">
      <c r="B8" s="9" t="s">
        <v>1</v>
      </c>
    </row>
    <row r="9" ht="15" customHeight="1"/>
    <row r="10" spans="2:22" ht="15" customHeight="1">
      <c r="B10" s="145" t="s">
        <v>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2:22" ht="1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2:22" ht="1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ht="15" customHeight="1"/>
    <row r="14" spans="3:19" ht="15" customHeight="1">
      <c r="C14" s="146" t="s">
        <v>3</v>
      </c>
      <c r="D14" s="147"/>
      <c r="E14" s="147"/>
      <c r="F14" s="147"/>
      <c r="G14" s="147"/>
      <c r="H14" s="147"/>
      <c r="I14" s="147"/>
      <c r="J14" s="148"/>
      <c r="K14" s="10"/>
      <c r="L14" s="146" t="s">
        <v>4</v>
      </c>
      <c r="M14" s="147"/>
      <c r="N14" s="147"/>
      <c r="O14" s="147"/>
      <c r="P14" s="147"/>
      <c r="Q14" s="147"/>
      <c r="R14" s="147"/>
      <c r="S14" s="148"/>
    </row>
    <row r="15" spans="3:19" ht="15" customHeight="1">
      <c r="C15" s="11"/>
      <c r="D15" s="149" t="s">
        <v>5</v>
      </c>
      <c r="E15" s="150"/>
      <c r="F15" s="150"/>
      <c r="G15" s="150"/>
      <c r="H15" s="150"/>
      <c r="I15" s="150"/>
      <c r="J15" s="151"/>
      <c r="L15" s="11"/>
      <c r="M15" s="149" t="s">
        <v>6</v>
      </c>
      <c r="N15" s="150"/>
      <c r="O15" s="150"/>
      <c r="P15" s="150"/>
      <c r="Q15" s="150"/>
      <c r="R15" s="150"/>
      <c r="S15" s="151"/>
    </row>
    <row r="16" spans="3:19" ht="15" customHeight="1">
      <c r="C16" s="12"/>
      <c r="D16" s="133" t="s">
        <v>123</v>
      </c>
      <c r="E16" s="134"/>
      <c r="F16" s="134"/>
      <c r="G16" s="134"/>
      <c r="H16" s="134"/>
      <c r="I16" s="134"/>
      <c r="J16" s="135"/>
      <c r="L16" s="12"/>
      <c r="M16" s="133" t="s">
        <v>124</v>
      </c>
      <c r="N16" s="134"/>
      <c r="O16" s="134"/>
      <c r="P16" s="134"/>
      <c r="Q16" s="134"/>
      <c r="R16" s="134"/>
      <c r="S16" s="135"/>
    </row>
    <row r="17" spans="3:19" ht="15" customHeight="1">
      <c r="C17" s="12"/>
      <c r="D17" s="136"/>
      <c r="E17" s="137"/>
      <c r="F17" s="137"/>
      <c r="G17" s="137"/>
      <c r="H17" s="137"/>
      <c r="I17" s="137"/>
      <c r="J17" s="138"/>
      <c r="L17" s="12"/>
      <c r="M17" s="136"/>
      <c r="N17" s="137"/>
      <c r="O17" s="137"/>
      <c r="P17" s="137"/>
      <c r="Q17" s="137"/>
      <c r="R17" s="137"/>
      <c r="S17" s="138"/>
    </row>
    <row r="18" spans="3:19" ht="15" customHeight="1">
      <c r="C18" s="13"/>
      <c r="D18" s="14"/>
      <c r="E18" s="139"/>
      <c r="F18" s="139"/>
      <c r="G18" s="139"/>
      <c r="H18" s="139"/>
      <c r="I18" s="139"/>
      <c r="J18" s="140"/>
      <c r="L18" s="13"/>
      <c r="M18" s="14"/>
      <c r="N18" s="139"/>
      <c r="O18" s="139"/>
      <c r="P18" s="139"/>
      <c r="Q18" s="139"/>
      <c r="R18" s="139"/>
      <c r="S18" s="140"/>
    </row>
    <row r="19" spans="2:5" ht="15" customHeight="1" thickBot="1">
      <c r="B19" s="15"/>
      <c r="E19" s="16"/>
    </row>
    <row r="20" spans="2:20" ht="16.5" thickBot="1">
      <c r="B20" s="141" t="s">
        <v>135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3"/>
    </row>
    <row r="21" spans="2:20" ht="12" customHeight="1" thickBot="1"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ht="12" customHeight="1"/>
    <row r="23" spans="2:18" ht="30.75">
      <c r="B23" s="144" t="s">
        <v>7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ht="6" customHeight="1">
      <c r="J24" s="1"/>
    </row>
    <row r="25" ht="7.5" customHeight="1">
      <c r="J25" s="1"/>
    </row>
    <row r="26" spans="2:10" ht="15" customHeight="1">
      <c r="B26" s="1">
        <v>1</v>
      </c>
      <c r="C26" s="1" t="s">
        <v>130</v>
      </c>
      <c r="J26" s="1"/>
    </row>
    <row r="27" ht="7.5" customHeight="1">
      <c r="J27" s="1"/>
    </row>
    <row r="28" spans="2:10" ht="15" customHeight="1">
      <c r="B28" s="19">
        <v>2</v>
      </c>
      <c r="C28" s="1" t="s">
        <v>131</v>
      </c>
      <c r="J28" s="1"/>
    </row>
    <row r="29" ht="7.5" customHeight="1">
      <c r="J29" s="1"/>
    </row>
    <row r="30" spans="2:10" ht="15" customHeight="1">
      <c r="B30" s="114">
        <v>3</v>
      </c>
      <c r="C30" s="48" t="s">
        <v>110</v>
      </c>
      <c r="J30" s="1"/>
    </row>
    <row r="31" spans="2:10" ht="15" customHeight="1">
      <c r="B31" s="19"/>
      <c r="J31" s="1"/>
    </row>
    <row r="32" spans="2:10" ht="15" customHeight="1">
      <c r="B32" s="19"/>
      <c r="J32" s="1"/>
    </row>
    <row r="33" ht="15" customHeight="1">
      <c r="J33" s="1"/>
    </row>
    <row r="34" spans="2:10" ht="7.5" customHeight="1">
      <c r="B34" s="19"/>
      <c r="J34" s="1"/>
    </row>
    <row r="35" ht="7.5" customHeight="1">
      <c r="J35" s="1"/>
    </row>
    <row r="36" ht="12.75"/>
    <row r="37" ht="12.75"/>
    <row r="38" ht="12.75"/>
    <row r="39" ht="12.75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/>
    <row r="70" ht="12.75"/>
    <row r="71" ht="12.75"/>
  </sheetData>
  <sheetProtection selectLockedCells="1"/>
  <mergeCells count="13">
    <mergeCell ref="B23:R23"/>
    <mergeCell ref="B10:V12"/>
    <mergeCell ref="C14:J14"/>
    <mergeCell ref="L14:S14"/>
    <mergeCell ref="D15:J15"/>
    <mergeCell ref="M15:S15"/>
    <mergeCell ref="D16:J16"/>
    <mergeCell ref="M16:S16"/>
    <mergeCell ref="D17:J17"/>
    <mergeCell ref="M17:S17"/>
    <mergeCell ref="E18:J18"/>
    <mergeCell ref="N18:S18"/>
    <mergeCell ref="B20:T20"/>
  </mergeCells>
  <hyperlinks>
    <hyperlink ref="M16" r:id="rId1" display="fftt@fftt.email"/>
    <hyperlink ref="D16" r:id="rId2" display="claude.bergeret@fftt.email"/>
    <hyperlink ref="J4" r:id="rId3" display="http://www.eurominichamps.com"/>
    <hyperlink ref="D16:J16" r:id="rId4" display="claude.bergeret@fftt.email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showRowColHeaders="0"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.57421875" style="19" bestFit="1" customWidth="1"/>
    <col min="2" max="2" width="18.57421875" style="1" customWidth="1"/>
    <col min="3" max="3" width="13.421875" style="1" customWidth="1"/>
    <col min="4" max="4" width="11.57421875" style="1" bestFit="1" customWidth="1"/>
    <col min="5" max="5" width="11.8515625" style="1" bestFit="1" customWidth="1"/>
    <col min="6" max="6" width="8.57421875" style="1" bestFit="1" customWidth="1"/>
    <col min="7" max="8" width="9.57421875" style="1" customWidth="1"/>
    <col min="9" max="9" width="12.8515625" style="1" bestFit="1" customWidth="1"/>
    <col min="10" max="10" width="9.57421875" style="1" customWidth="1"/>
    <col min="11" max="11" width="21.8515625" style="1" customWidth="1"/>
    <col min="12" max="12" width="10.140625" style="1" bestFit="1" customWidth="1"/>
    <col min="13" max="13" width="11.8515625" style="1" bestFit="1" customWidth="1"/>
    <col min="14" max="14" width="13.57421875" style="1" customWidth="1"/>
    <col min="15" max="15" width="11.421875" style="1" bestFit="1" customWidth="1"/>
    <col min="16" max="16" width="11.57421875" style="64" customWidth="1"/>
    <col min="17" max="18" width="11.57421875" style="64" hidden="1" customWidth="1"/>
    <col min="19" max="19" width="5.140625" style="1" hidden="1" customWidth="1"/>
    <col min="20" max="20" width="10.57421875" style="1" hidden="1" customWidth="1"/>
    <col min="21" max="24" width="11.421875" style="1" hidden="1" customWidth="1"/>
    <col min="25" max="25" width="1.57421875" style="1" customWidth="1"/>
    <col min="26" max="246" width="11.421875" style="1" hidden="1" customWidth="1"/>
    <col min="247" max="16384" width="0" style="1" hidden="1" customWidth="1"/>
  </cols>
  <sheetData>
    <row r="1" spans="1:19" ht="18" customHeight="1">
      <c r="A1" s="20"/>
      <c r="B1" s="21" t="str">
        <f>'0 Information'!J2</f>
        <v>15th Euro Mini Champ's</v>
      </c>
      <c r="C1" s="20"/>
      <c r="D1" s="20"/>
      <c r="E1" s="20"/>
      <c r="F1" s="20"/>
      <c r="G1" s="22"/>
      <c r="H1" s="23"/>
      <c r="I1" s="24"/>
      <c r="J1" s="24"/>
      <c r="K1" s="24"/>
      <c r="L1" s="24"/>
      <c r="M1" s="24"/>
      <c r="N1" s="23"/>
      <c r="O1" s="25"/>
      <c r="P1" s="169" t="s">
        <v>8</v>
      </c>
      <c r="Q1" s="170"/>
      <c r="R1" s="170"/>
      <c r="S1" s="22"/>
    </row>
    <row r="2" spans="1:19" ht="18" customHeight="1">
      <c r="A2" s="20"/>
      <c r="B2" s="21" t="str">
        <f>'0 Information'!J3</f>
        <v>SCHILTIGHEIM 23-25/08/2019</v>
      </c>
      <c r="C2" s="24"/>
      <c r="D2" s="24"/>
      <c r="E2" s="24"/>
      <c r="F2" s="24"/>
      <c r="G2" s="22"/>
      <c r="H2" s="23"/>
      <c r="I2" s="171" t="str">
        <f>"Deadline Accommodation : "&amp;TEXT(Informations!$B$8,"jj/mm/aaaa")</f>
        <v>Deadline Accommodation : 08/06/2019</v>
      </c>
      <c r="J2" s="172"/>
      <c r="K2" s="173"/>
      <c r="L2" s="24"/>
      <c r="M2" s="24"/>
      <c r="N2" s="23"/>
      <c r="O2" s="27"/>
      <c r="P2" s="169"/>
      <c r="Q2" s="28">
        <v>35</v>
      </c>
      <c r="R2" s="26"/>
      <c r="S2" s="22"/>
    </row>
    <row r="3" spans="1:19" ht="18" customHeight="1">
      <c r="A3" s="24"/>
      <c r="B3" s="21" t="str">
        <f>IF('0 Information'!J4="","",'0 Information'!J4)</f>
        <v>http://www.eurominichamps.com</v>
      </c>
      <c r="C3" s="24"/>
      <c r="D3" s="24"/>
      <c r="E3" s="24"/>
      <c r="F3" s="24"/>
      <c r="G3" s="22"/>
      <c r="H3" s="23"/>
      <c r="I3" s="174" t="str">
        <f>"Deadline Travel Details:  "&amp;TEXT(Informations!$B$9,"jj/mm/aaaa")</f>
        <v>Deadline Travel Details:  05/07/2019</v>
      </c>
      <c r="J3" s="175"/>
      <c r="K3" s="176"/>
      <c r="L3" s="24"/>
      <c r="M3" s="24"/>
      <c r="N3" s="23"/>
      <c r="O3" s="23"/>
      <c r="P3" s="29" t="s">
        <v>125</v>
      </c>
      <c r="Q3" s="28"/>
      <c r="R3" s="29"/>
      <c r="S3" s="22"/>
    </row>
    <row r="4" spans="1:19" ht="15.75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8"/>
      <c r="R4" s="22"/>
      <c r="S4" s="22"/>
    </row>
    <row r="5" spans="1:19" ht="6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1"/>
      <c r="Q5" s="21"/>
      <c r="R5" s="31"/>
      <c r="S5" s="22"/>
    </row>
    <row r="6" spans="1:19" ht="19.5" customHeight="1">
      <c r="A6" s="177" t="s">
        <v>9</v>
      </c>
      <c r="B6" s="177"/>
      <c r="C6" s="177"/>
      <c r="D6" s="177"/>
      <c r="E6" s="177"/>
      <c r="F6" s="177"/>
      <c r="G6" s="178"/>
      <c r="H6" s="179"/>
      <c r="I6" s="179"/>
      <c r="J6" s="179"/>
      <c r="K6" s="180"/>
      <c r="L6" s="23"/>
      <c r="M6" s="181"/>
      <c r="N6" s="181"/>
      <c r="O6" s="32"/>
      <c r="P6" s="31"/>
      <c r="Q6" s="21"/>
      <c r="R6" s="31"/>
      <c r="S6" s="22"/>
    </row>
    <row r="7" spans="1:19" ht="6" customHeight="1">
      <c r="A7" s="3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1"/>
      <c r="Q7" s="31"/>
      <c r="R7" s="31"/>
      <c r="S7" s="22"/>
    </row>
    <row r="8" spans="1:19" ht="12.75" customHeight="1">
      <c r="A8" s="158" t="s">
        <v>10</v>
      </c>
      <c r="B8" s="163" t="s">
        <v>16</v>
      </c>
      <c r="C8" s="165" t="s">
        <v>48</v>
      </c>
      <c r="D8" s="34" t="s">
        <v>49</v>
      </c>
      <c r="E8" s="34" t="s">
        <v>51</v>
      </c>
      <c r="F8" s="34" t="s">
        <v>56</v>
      </c>
      <c r="G8" s="65" t="s">
        <v>58</v>
      </c>
      <c r="H8" s="65" t="s">
        <v>59</v>
      </c>
      <c r="I8" s="35" t="s">
        <v>114</v>
      </c>
      <c r="J8" s="66" t="s">
        <v>60</v>
      </c>
      <c r="K8" s="66" t="s">
        <v>98</v>
      </c>
      <c r="L8" s="167" t="s">
        <v>61</v>
      </c>
      <c r="M8" s="66" t="s">
        <v>14</v>
      </c>
      <c r="N8" s="66" t="s">
        <v>62</v>
      </c>
      <c r="O8" s="66" t="s">
        <v>63</v>
      </c>
      <c r="P8" s="66" t="s">
        <v>15</v>
      </c>
      <c r="Q8" s="36"/>
      <c r="R8" s="36"/>
      <c r="S8" s="22"/>
    </row>
    <row r="9" spans="1:24" ht="12.75">
      <c r="A9" s="159"/>
      <c r="B9" s="164"/>
      <c r="C9" s="166"/>
      <c r="D9" s="67" t="s">
        <v>67</v>
      </c>
      <c r="E9" s="37" t="s">
        <v>109</v>
      </c>
      <c r="F9" s="67" t="s">
        <v>57</v>
      </c>
      <c r="G9" s="67" t="s">
        <v>50</v>
      </c>
      <c r="H9" s="67" t="s">
        <v>50</v>
      </c>
      <c r="I9" s="67" t="s">
        <v>57</v>
      </c>
      <c r="J9" s="67" t="s">
        <v>57</v>
      </c>
      <c r="K9" s="67" t="s">
        <v>64</v>
      </c>
      <c r="L9" s="168"/>
      <c r="M9" s="101" t="s">
        <v>65</v>
      </c>
      <c r="N9" s="102" t="s">
        <v>66</v>
      </c>
      <c r="O9" s="102" t="s">
        <v>66</v>
      </c>
      <c r="P9" s="101" t="s">
        <v>65</v>
      </c>
      <c r="Q9" s="33"/>
      <c r="R9" s="33"/>
      <c r="S9" s="22"/>
      <c r="U9" s="38" t="s">
        <v>19</v>
      </c>
      <c r="V9" s="38" t="s">
        <v>20</v>
      </c>
      <c r="W9" s="38" t="s">
        <v>17</v>
      </c>
      <c r="X9" s="38" t="s">
        <v>18</v>
      </c>
    </row>
    <row r="10" spans="1:24" ht="13.5" customHeight="1">
      <c r="A10" s="103" t="s">
        <v>53</v>
      </c>
      <c r="B10" s="104" t="s">
        <v>54</v>
      </c>
      <c r="C10" s="104" t="s">
        <v>55</v>
      </c>
      <c r="D10" s="105"/>
      <c r="E10" s="106" t="s">
        <v>42</v>
      </c>
      <c r="F10" s="106" t="s">
        <v>40</v>
      </c>
      <c r="G10" s="126">
        <f>Informations!$B$1</f>
        <v>43700</v>
      </c>
      <c r="H10" s="126">
        <f>Informations!$B$2</f>
        <v>43702</v>
      </c>
      <c r="I10" s="106" t="s">
        <v>115</v>
      </c>
      <c r="J10" s="106" t="s">
        <v>75</v>
      </c>
      <c r="K10" s="104" t="s">
        <v>97</v>
      </c>
      <c r="L10" s="106">
        <f>IF(G10="","",(H10-G10))</f>
        <v>2</v>
      </c>
      <c r="M10" s="108"/>
      <c r="N10" s="106"/>
      <c r="O10" s="106"/>
      <c r="P10" s="107"/>
      <c r="Q10" s="38" t="s">
        <v>17</v>
      </c>
      <c r="R10" s="38" t="s">
        <v>18</v>
      </c>
      <c r="S10" s="22"/>
      <c r="T10" s="39" t="s">
        <v>21</v>
      </c>
      <c r="U10" s="40">
        <f>PACK1+(3*_EN1)</f>
        <v>240</v>
      </c>
      <c r="V10" s="40">
        <f>2*_EN1</f>
        <v>40</v>
      </c>
      <c r="W10" s="40">
        <f>_EM1</f>
        <v>13</v>
      </c>
      <c r="X10" s="40">
        <f>2*_EN1</f>
        <v>40</v>
      </c>
    </row>
    <row r="11" spans="1:24" ht="19.5" customHeight="1">
      <c r="A11" s="41">
        <v>1</v>
      </c>
      <c r="B11" s="42"/>
      <c r="C11" s="42"/>
      <c r="D11" s="68"/>
      <c r="E11" s="43"/>
      <c r="F11" s="43"/>
      <c r="G11" s="125"/>
      <c r="H11" s="125"/>
      <c r="I11" s="43"/>
      <c r="J11" s="43"/>
      <c r="K11" s="42"/>
      <c r="L11" s="109">
        <f>IF(G11="","",(H11-G11))</f>
      </c>
      <c r="M11" s="112">
        <f>IF(B11="","",IF(I11="Badge Only",200,IF(I11="","Choice option",IF(J11="","Choice Room",VLOOKUP(I11&amp;" "&amp;J11,Informations!$S$2:$V$8,2,FALSE)))))</f>
      </c>
      <c r="N11" s="109">
        <f aca="true" t="shared" si="0" ref="N11:N25">IF(L11="","",IF(L11&gt;3,L11-3,0))</f>
      </c>
      <c r="O11" s="127"/>
      <c r="P11" s="44">
        <f>IF(M11="","",IF(I11="Badge Only",200,IF(OR((M11="Choice Room"),(M11="Choice option")),"",M11+(N11*(VLOOKUP(I11&amp;" "&amp;J11,Informations!$S$2:$V$8,3,FALSE)))+(O11*(VLOOKUP(I11&amp;" "&amp;J11,Informations!$S$2:$V$8,4,FALSE))))))</f>
      </c>
      <c r="Q11" s="45">
        <f>IF(N11="",0,(VLOOKUP(L11,$T$10:$X$16,4,FALSE)))</f>
        <v>0</v>
      </c>
      <c r="R11" s="45">
        <f>IF(O11="",0,(VLOOKUP(L11,$T$10:$X$16,5,FALSE)))</f>
        <v>0</v>
      </c>
      <c r="S11" s="22"/>
      <c r="T11" s="39" t="s">
        <v>22</v>
      </c>
      <c r="U11" s="40">
        <f>PACK1</f>
        <v>180</v>
      </c>
      <c r="V11" s="40"/>
      <c r="W11" s="40">
        <f>_EM1</f>
        <v>13</v>
      </c>
      <c r="X11" s="40">
        <f>_EN1</f>
        <v>20</v>
      </c>
    </row>
    <row r="12" spans="1:24" ht="19.5" customHeight="1">
      <c r="A12" s="46">
        <v>2</v>
      </c>
      <c r="B12" s="42"/>
      <c r="C12" s="42"/>
      <c r="D12" s="68"/>
      <c r="E12" s="43"/>
      <c r="F12" s="43"/>
      <c r="G12" s="125"/>
      <c r="H12" s="125"/>
      <c r="I12" s="43"/>
      <c r="J12" s="43"/>
      <c r="K12" s="42"/>
      <c r="L12" s="109">
        <f aca="true" t="shared" si="1" ref="L12:L25">IF(G12="","",(H12-G12))</f>
      </c>
      <c r="M12" s="112">
        <f>IF(B12="","",IF(I12="Badge Only",200,IF(I12="","Choice option",IF(J12="","Choice Room",VLOOKUP(I12&amp;" "&amp;J12,Informations!$S$2:$V$8,2,FALSE)))))</f>
      </c>
      <c r="N12" s="109">
        <f t="shared" si="0"/>
      </c>
      <c r="O12" s="127"/>
      <c r="P12" s="44">
        <f>IF(M12="","",IF(I12="Badge Only",200,IF(OR((M12="Choice Room"),(M12="Choice option")),"",M12+(N12*(VLOOKUP(I12&amp;" "&amp;J12,Informations!$S$2:$V$8,3,FALSE)))+(O12*(VLOOKUP(I12&amp;" "&amp;J12,Informations!$S$2:$V$8,4,FALSE))))))</f>
      </c>
      <c r="Q12" s="45">
        <f aca="true" t="shared" si="2" ref="Q12:Q25">IF(N12="",0,(VLOOKUP(L12,$T$10:$X$16,4,FALSE)))</f>
        <v>0</v>
      </c>
      <c r="R12" s="45">
        <f aca="true" t="shared" si="3" ref="R12:R25">IF(O12="",0,(VLOOKUP(L12,$T$10:$X$16,5,FALSE)))</f>
        <v>0</v>
      </c>
      <c r="S12" s="22"/>
      <c r="T12" s="39" t="s">
        <v>23</v>
      </c>
      <c r="U12" s="40">
        <f>PACK1-_EN1</f>
        <v>160</v>
      </c>
      <c r="V12" s="40"/>
      <c r="W12" s="40">
        <f>_EM1</f>
        <v>13</v>
      </c>
      <c r="X12" s="40">
        <f>_EN1</f>
        <v>20</v>
      </c>
    </row>
    <row r="13" spans="1:24" ht="19.5" customHeight="1">
      <c r="A13" s="46">
        <v>3</v>
      </c>
      <c r="B13" s="42"/>
      <c r="C13" s="42"/>
      <c r="D13" s="68"/>
      <c r="E13" s="43"/>
      <c r="F13" s="43"/>
      <c r="G13" s="125"/>
      <c r="H13" s="125"/>
      <c r="I13" s="43"/>
      <c r="J13" s="43"/>
      <c r="K13" s="42"/>
      <c r="L13" s="109">
        <f t="shared" si="1"/>
      </c>
      <c r="M13" s="112">
        <f>IF(B13="","",IF(I13="Badge Only",200,IF(I13="","Choice option",IF(J13="","Choice Room",VLOOKUP(I13&amp;" "&amp;J13,Informations!$S$2:$V$8,2,FALSE)))))</f>
      </c>
      <c r="N13" s="109">
        <f t="shared" si="0"/>
      </c>
      <c r="O13" s="127"/>
      <c r="P13" s="44">
        <f>IF(M13="","",IF(I13="Badge Only",200,IF(OR((M13="Choice Room"),(M13="Choice option")),"",M13+(N13*(VLOOKUP(I13&amp;" "&amp;J13,Informations!$S$2:$V$8,3,FALSE)))+(O13*(VLOOKUP(I13&amp;" "&amp;J13,Informations!$S$2:$V$8,4,FALSE))))))</f>
      </c>
      <c r="Q13" s="45">
        <f t="shared" si="2"/>
        <v>0</v>
      </c>
      <c r="R13" s="45">
        <f t="shared" si="3"/>
        <v>0</v>
      </c>
      <c r="S13" s="22"/>
      <c r="T13" s="39" t="s">
        <v>24</v>
      </c>
      <c r="U13" s="40">
        <f>PACK2+(3*_EN2)</f>
        <v>265</v>
      </c>
      <c r="V13" s="40">
        <f>2*_EN2</f>
        <v>50</v>
      </c>
      <c r="W13" s="40">
        <f>_EM2</f>
        <v>13</v>
      </c>
      <c r="X13" s="40">
        <f>2*_EN2</f>
        <v>50</v>
      </c>
    </row>
    <row r="14" spans="1:24" ht="19.5" customHeight="1">
      <c r="A14" s="46">
        <v>4</v>
      </c>
      <c r="B14" s="42"/>
      <c r="C14" s="42"/>
      <c r="D14" s="68"/>
      <c r="E14" s="43"/>
      <c r="F14" s="43"/>
      <c r="G14" s="125"/>
      <c r="H14" s="125"/>
      <c r="I14" s="43"/>
      <c r="J14" s="43"/>
      <c r="K14" s="42"/>
      <c r="L14" s="109">
        <f t="shared" si="1"/>
      </c>
      <c r="M14" s="112">
        <f>IF(B14="","",IF(I14="Badge Only",200,IF(I14="","Choice option",IF(J14="","Choice Room",VLOOKUP(I14&amp;" "&amp;J14,Informations!$S$2:$V$8,2,FALSE)))))</f>
      </c>
      <c r="N14" s="109">
        <f t="shared" si="0"/>
      </c>
      <c r="O14" s="127"/>
      <c r="P14" s="44">
        <f>IF(M14="","",IF(I14="Badge Only",200,IF(OR((M14="Choice Room"),(M14="Choice option")),"",M14+(N14*(VLOOKUP(I14&amp;" "&amp;J14,Informations!$S$2:$V$8,3,FALSE)))+(O14*(VLOOKUP(I14&amp;" "&amp;J14,Informations!$S$2:$V$8,4,FALSE))))))</f>
      </c>
      <c r="Q14" s="45">
        <f t="shared" si="2"/>
        <v>0</v>
      </c>
      <c r="R14" s="45">
        <f t="shared" si="3"/>
        <v>0</v>
      </c>
      <c r="S14" s="22"/>
      <c r="T14" s="39" t="s">
        <v>25</v>
      </c>
      <c r="U14" s="40">
        <f>PACK2</f>
        <v>190</v>
      </c>
      <c r="V14" s="40"/>
      <c r="W14" s="40">
        <f>_EM2</f>
        <v>13</v>
      </c>
      <c r="X14" s="40">
        <f>_EN2</f>
        <v>25</v>
      </c>
    </row>
    <row r="15" spans="1:24" ht="19.5" customHeight="1">
      <c r="A15" s="46">
        <v>5</v>
      </c>
      <c r="B15" s="42"/>
      <c r="C15" s="42"/>
      <c r="D15" s="68"/>
      <c r="E15" s="43"/>
      <c r="F15" s="43"/>
      <c r="G15" s="125"/>
      <c r="H15" s="125"/>
      <c r="I15" s="43"/>
      <c r="J15" s="43"/>
      <c r="K15" s="42"/>
      <c r="L15" s="109">
        <f t="shared" si="1"/>
      </c>
      <c r="M15" s="112">
        <f>IF(B15="","",IF(I15="Badge Only",200,IF(I15="","Choice option",IF(J15="","Choice Room",VLOOKUP(I15&amp;" "&amp;J15,Informations!$S$2:$V$8,2,FALSE)))))</f>
      </c>
      <c r="N15" s="109">
        <f t="shared" si="0"/>
      </c>
      <c r="O15" s="127"/>
      <c r="P15" s="44">
        <f>IF(M15="","",IF(I15="Badge Only",200,IF(OR((M15="Choice Room"),(M15="Choice option")),"",M15+(N15*(VLOOKUP(I15&amp;" "&amp;J15,Informations!$S$2:$V$8,3,FALSE)))+(O15*(VLOOKUP(I15&amp;" "&amp;J15,Informations!$S$2:$V$8,4,FALSE))))))</f>
      </c>
      <c r="Q15" s="45">
        <f t="shared" si="2"/>
        <v>0</v>
      </c>
      <c r="R15" s="45">
        <f t="shared" si="3"/>
        <v>0</v>
      </c>
      <c r="S15" s="22"/>
      <c r="T15" s="39" t="s">
        <v>26</v>
      </c>
      <c r="U15" s="40">
        <f>PACKFULL+(3*_ENFULL)</f>
        <v>315</v>
      </c>
      <c r="V15" s="40">
        <f>2*_ENFULL</f>
        <v>70</v>
      </c>
      <c r="W15" s="40">
        <f>_EMFULL</f>
        <v>13</v>
      </c>
      <c r="X15" s="40">
        <f>2*_ENFULL</f>
        <v>70</v>
      </c>
    </row>
    <row r="16" spans="1:24" ht="19.5" customHeight="1">
      <c r="A16" s="46">
        <v>6</v>
      </c>
      <c r="B16" s="42"/>
      <c r="C16" s="42"/>
      <c r="D16" s="68"/>
      <c r="E16" s="43"/>
      <c r="F16" s="43"/>
      <c r="G16" s="125"/>
      <c r="H16" s="125"/>
      <c r="I16" s="43"/>
      <c r="J16" s="43"/>
      <c r="K16" s="42"/>
      <c r="L16" s="109">
        <f t="shared" si="1"/>
      </c>
      <c r="M16" s="112">
        <f>IF(B16="","",IF(I16="Badge Only",200,IF(I16="","Choice option",IF(J16="","Choice Room",VLOOKUP(I16&amp;" "&amp;J16,Informations!$S$2:$V$8,2,FALSE)))))</f>
      </c>
      <c r="N16" s="109">
        <f t="shared" si="0"/>
      </c>
      <c r="O16" s="127"/>
      <c r="P16" s="44">
        <f>IF(M16="","",IF(I16="Badge Only",200,IF(OR((M16="Choice Room"),(M16="Choice option")),"",M16+(N16*(VLOOKUP(I16&amp;" "&amp;J16,Informations!$S$2:$V$8,3,FALSE)))+(O16*(VLOOKUP(I16&amp;" "&amp;J16,Informations!$S$2:$V$8,4,FALSE))))))</f>
      </c>
      <c r="Q16" s="45">
        <f t="shared" si="2"/>
        <v>0</v>
      </c>
      <c r="R16" s="45">
        <f t="shared" si="3"/>
        <v>0</v>
      </c>
      <c r="S16" s="22"/>
      <c r="T16" s="39" t="s">
        <v>27</v>
      </c>
      <c r="U16" s="40">
        <f>PACKFULL</f>
        <v>210</v>
      </c>
      <c r="V16" s="40"/>
      <c r="W16" s="40">
        <f>_EMFULL</f>
        <v>13</v>
      </c>
      <c r="X16" s="40">
        <f>_ENFULL</f>
        <v>35</v>
      </c>
    </row>
    <row r="17" spans="1:19" ht="19.5" customHeight="1">
      <c r="A17" s="46">
        <v>7</v>
      </c>
      <c r="B17" s="42"/>
      <c r="C17" s="42"/>
      <c r="D17" s="68"/>
      <c r="E17" s="43"/>
      <c r="F17" s="43"/>
      <c r="G17" s="125"/>
      <c r="H17" s="125"/>
      <c r="I17" s="43"/>
      <c r="J17" s="43"/>
      <c r="K17" s="42"/>
      <c r="L17" s="109">
        <f t="shared" si="1"/>
      </c>
      <c r="M17" s="112">
        <f>IF(B17="","",IF(I17="Badge Only",200,IF(I17="","Choice option",IF(J17="","Choice Room",VLOOKUP(I17&amp;" "&amp;J17,Informations!$S$2:$V$8,2,FALSE)))))</f>
      </c>
      <c r="N17" s="109">
        <f t="shared" si="0"/>
      </c>
      <c r="O17" s="127"/>
      <c r="P17" s="44">
        <f>IF(M17="","",IF(I17="Badge Only",200,IF(OR((M17="Choice Room"),(M17="Choice option")),"",M17+(N17*(VLOOKUP(I17&amp;" "&amp;J17,Informations!$S$2:$V$8,3,FALSE)))+(O17*(VLOOKUP(I17&amp;" "&amp;J17,Informations!$S$2:$V$8,4,FALSE))))))</f>
      </c>
      <c r="Q17" s="45">
        <f t="shared" si="2"/>
        <v>0</v>
      </c>
      <c r="R17" s="45">
        <f t="shared" si="3"/>
        <v>0</v>
      </c>
      <c r="S17" s="22"/>
    </row>
    <row r="18" spans="1:21" ht="19.5" customHeight="1">
      <c r="A18" s="46">
        <v>8</v>
      </c>
      <c r="B18" s="42"/>
      <c r="C18" s="47"/>
      <c r="D18" s="68"/>
      <c r="E18" s="43"/>
      <c r="F18" s="43"/>
      <c r="G18" s="125"/>
      <c r="H18" s="125"/>
      <c r="I18" s="43"/>
      <c r="J18" s="43"/>
      <c r="K18" s="42"/>
      <c r="L18" s="109">
        <f t="shared" si="1"/>
      </c>
      <c r="M18" s="112">
        <f>IF(B18="","",IF(I18="Badge Only",200,IF(I18="","Choice option",IF(J18="","Choice Room",VLOOKUP(I18&amp;" "&amp;J18,Informations!$S$2:$V$8,2,FALSE)))))</f>
      </c>
      <c r="N18" s="109">
        <f t="shared" si="0"/>
      </c>
      <c r="O18" s="127"/>
      <c r="P18" s="44">
        <f>IF(M18="","",IF(I18="Badge Only",200,IF(OR((M18="Choice Room"),(M18="Choice option")),"",M18+(N18*(VLOOKUP(I18&amp;" "&amp;J18,Informations!$S$2:$V$8,3,FALSE)))+(O18*(VLOOKUP(I18&amp;" "&amp;J18,Informations!$S$2:$V$8,4,FALSE))))))</f>
      </c>
      <c r="Q18" s="45">
        <f t="shared" si="2"/>
        <v>0</v>
      </c>
      <c r="R18" s="45">
        <f t="shared" si="3"/>
        <v>0</v>
      </c>
      <c r="S18" s="22"/>
      <c r="T18" s="48" t="s">
        <v>28</v>
      </c>
      <c r="U18" s="40">
        <v>180</v>
      </c>
    </row>
    <row r="19" spans="1:21" ht="19.5" customHeight="1">
      <c r="A19" s="46">
        <v>9</v>
      </c>
      <c r="B19" s="42"/>
      <c r="C19" s="47"/>
      <c r="D19" s="68"/>
      <c r="E19" s="43"/>
      <c r="F19" s="43"/>
      <c r="G19" s="125"/>
      <c r="H19" s="125"/>
      <c r="I19" s="43"/>
      <c r="J19" s="43"/>
      <c r="K19" s="42"/>
      <c r="L19" s="109">
        <f t="shared" si="1"/>
      </c>
      <c r="M19" s="112">
        <f>IF(B19="","",IF(I19="Badge Only",200,IF(I19="","Choice option",IF(J19="","Choice Room",VLOOKUP(I19&amp;" "&amp;J19,Informations!$S$2:$V$8,2,FALSE)))))</f>
      </c>
      <c r="N19" s="109">
        <f t="shared" si="0"/>
      </c>
      <c r="O19" s="127"/>
      <c r="P19" s="44">
        <f>IF(M19="","",IF(I19="Badge Only",200,IF(OR((M19="Choice Room"),(M19="Choice option")),"",M19+(N19*(VLOOKUP(I19&amp;" "&amp;J19,Informations!$S$2:$V$8,3,FALSE)))+(O19*(VLOOKUP(I19&amp;" "&amp;J19,Informations!$S$2:$V$8,4,FALSE))))))</f>
      </c>
      <c r="Q19" s="45">
        <f t="shared" si="2"/>
        <v>0</v>
      </c>
      <c r="R19" s="45">
        <f t="shared" si="3"/>
        <v>0</v>
      </c>
      <c r="S19" s="22"/>
      <c r="T19" s="48" t="s">
        <v>29</v>
      </c>
      <c r="U19" s="40">
        <v>190</v>
      </c>
    </row>
    <row r="20" spans="1:21" ht="19.5" customHeight="1">
      <c r="A20" s="46">
        <v>10</v>
      </c>
      <c r="B20" s="42"/>
      <c r="C20" s="47"/>
      <c r="D20" s="68"/>
      <c r="E20" s="43"/>
      <c r="F20" s="43"/>
      <c r="G20" s="125"/>
      <c r="H20" s="125"/>
      <c r="I20" s="43"/>
      <c r="J20" s="43"/>
      <c r="K20" s="42"/>
      <c r="L20" s="109">
        <f t="shared" si="1"/>
      </c>
      <c r="M20" s="112">
        <f>IF(B20="","",IF(I20="Badge Only",200,IF(I20="","Choice option",IF(J20="","Choice Room",VLOOKUP(I20&amp;" "&amp;J20,Informations!$S$2:$V$8,2,FALSE)))))</f>
      </c>
      <c r="N20" s="109">
        <f t="shared" si="0"/>
      </c>
      <c r="O20" s="127"/>
      <c r="P20" s="44">
        <f>IF(M20="","",IF(I20="Badge Only",200,IF(OR((M20="Choice Room"),(M20="Choice option")),"",M20+(N20*(VLOOKUP(I20&amp;" "&amp;J20,Informations!$S$2:$V$8,3,FALSE)))+(O20*(VLOOKUP(I20&amp;" "&amp;J20,Informations!$S$2:$V$8,4,FALSE))))))</f>
      </c>
      <c r="Q20" s="45">
        <f t="shared" si="2"/>
        <v>0</v>
      </c>
      <c r="R20" s="45">
        <f t="shared" si="3"/>
        <v>0</v>
      </c>
      <c r="S20" s="22"/>
      <c r="T20" s="48" t="s">
        <v>30</v>
      </c>
      <c r="U20" s="40">
        <v>210</v>
      </c>
    </row>
    <row r="21" spans="1:21" ht="19.5" customHeight="1">
      <c r="A21" s="46">
        <v>11</v>
      </c>
      <c r="B21" s="42"/>
      <c r="C21" s="47"/>
      <c r="D21" s="68"/>
      <c r="E21" s="43"/>
      <c r="F21" s="43"/>
      <c r="G21" s="125"/>
      <c r="H21" s="125"/>
      <c r="I21" s="43"/>
      <c r="J21" s="43"/>
      <c r="K21" s="42"/>
      <c r="L21" s="109">
        <f t="shared" si="1"/>
      </c>
      <c r="M21" s="112">
        <f>IF(B21="","",IF(I21="Badge Only",200,IF(I21="","Choice option",IF(J21="","Choice Room",VLOOKUP(I21&amp;" "&amp;J21,Informations!$S$2:$V$8,2,FALSE)))))</f>
      </c>
      <c r="N21" s="109">
        <f t="shared" si="0"/>
      </c>
      <c r="O21" s="127"/>
      <c r="P21" s="44">
        <f>IF(M21="","",IF(I21="Badge Only",200,IF(OR((M21="Choice Room"),(M21="Choice option")),"",M21+(N21*(VLOOKUP(I21&amp;" "&amp;J21,Informations!$S$2:$V$8,3,FALSE)))+(O21*(VLOOKUP(I21&amp;" "&amp;J21,Informations!$S$2:$V$8,4,FALSE))))))</f>
      </c>
      <c r="Q21" s="45">
        <f t="shared" si="2"/>
        <v>0</v>
      </c>
      <c r="R21" s="45">
        <f t="shared" si="3"/>
        <v>0</v>
      </c>
      <c r="S21" s="22"/>
      <c r="T21" s="48" t="s">
        <v>31</v>
      </c>
      <c r="U21" s="40">
        <v>13</v>
      </c>
    </row>
    <row r="22" spans="1:21" ht="19.5" customHeight="1">
      <c r="A22" s="46">
        <v>12</v>
      </c>
      <c r="B22" s="42"/>
      <c r="C22" s="47"/>
      <c r="D22" s="68"/>
      <c r="E22" s="43"/>
      <c r="F22" s="43"/>
      <c r="G22" s="125"/>
      <c r="H22" s="125"/>
      <c r="I22" s="43"/>
      <c r="J22" s="43"/>
      <c r="K22" s="42"/>
      <c r="L22" s="109">
        <f t="shared" si="1"/>
      </c>
      <c r="M22" s="112">
        <f>IF(B22="","",IF(I22="Badge Only",200,IF(I22="","Choice option",IF(J22="","Choice Room",VLOOKUP(I22&amp;" "&amp;J22,Informations!$S$2:$V$8,2,FALSE)))))</f>
      </c>
      <c r="N22" s="109">
        <f t="shared" si="0"/>
      </c>
      <c r="O22" s="127"/>
      <c r="P22" s="44">
        <f>IF(M22="","",IF(I22="Badge Only",200,IF(OR((M22="Choice Room"),(M22="Choice option")),"",M22+(N22*(VLOOKUP(I22&amp;" "&amp;J22,Informations!$S$2:$V$8,3,FALSE)))+(O22*(VLOOKUP(I22&amp;" "&amp;J22,Informations!$S$2:$V$8,4,FALSE))))))</f>
      </c>
      <c r="Q22" s="45">
        <f t="shared" si="2"/>
        <v>0</v>
      </c>
      <c r="R22" s="45">
        <f t="shared" si="3"/>
        <v>0</v>
      </c>
      <c r="S22" s="22"/>
      <c r="T22" s="48" t="s">
        <v>32</v>
      </c>
      <c r="U22" s="40">
        <v>13</v>
      </c>
    </row>
    <row r="23" spans="1:21" ht="19.5" customHeight="1">
      <c r="A23" s="46">
        <v>13</v>
      </c>
      <c r="B23" s="42"/>
      <c r="C23" s="47"/>
      <c r="D23" s="68"/>
      <c r="E23" s="43"/>
      <c r="F23" s="43"/>
      <c r="G23" s="125"/>
      <c r="H23" s="125"/>
      <c r="I23" s="43"/>
      <c r="J23" s="43"/>
      <c r="K23" s="42"/>
      <c r="L23" s="109">
        <f t="shared" si="1"/>
      </c>
      <c r="M23" s="112">
        <f>IF(B23="","",IF(I23="Badge Only",200,IF(I23="","Choice option",IF(J23="","Choice Room",VLOOKUP(I23&amp;" "&amp;J23,Informations!$S$2:$V$8,2,FALSE)))))</f>
      </c>
      <c r="N23" s="109">
        <f t="shared" si="0"/>
      </c>
      <c r="O23" s="127"/>
      <c r="P23" s="44">
        <f>IF(M23="","",IF(I23="Badge Only",200,IF(OR((M23="Choice Room"),(M23="Choice option")),"",M23+(N23*(VLOOKUP(I23&amp;" "&amp;J23,Informations!$S$2:$V$8,3,FALSE)))+(O23*(VLOOKUP(I23&amp;" "&amp;J23,Informations!$S$2:$V$8,4,FALSE))))))</f>
      </c>
      <c r="Q23" s="45">
        <f t="shared" si="2"/>
        <v>0</v>
      </c>
      <c r="R23" s="45">
        <f t="shared" si="3"/>
        <v>0</v>
      </c>
      <c r="S23" s="22"/>
      <c r="T23" s="48" t="s">
        <v>33</v>
      </c>
      <c r="U23" s="40">
        <v>13</v>
      </c>
    </row>
    <row r="24" spans="1:21" ht="19.5" customHeight="1">
      <c r="A24" s="46">
        <v>14</v>
      </c>
      <c r="B24" s="42"/>
      <c r="C24" s="47"/>
      <c r="D24" s="68"/>
      <c r="E24" s="43"/>
      <c r="F24" s="43"/>
      <c r="G24" s="125"/>
      <c r="H24" s="125"/>
      <c r="I24" s="43"/>
      <c r="J24" s="43"/>
      <c r="K24" s="42"/>
      <c r="L24" s="109">
        <f t="shared" si="1"/>
      </c>
      <c r="M24" s="112">
        <f>IF(B24="","",IF(I24="Badge Only",200,IF(I24="","Choice option",IF(J24="","Choice Room",VLOOKUP(I24&amp;" "&amp;J24,Informations!$S$2:$V$8,2,FALSE)))))</f>
      </c>
      <c r="N24" s="109">
        <f t="shared" si="0"/>
      </c>
      <c r="O24" s="127"/>
      <c r="P24" s="44">
        <f>IF(M24="","",IF(I24="Badge Only",200,IF(OR((M24="Choice Room"),(M24="Choice option")),"",M24+(N24*(VLOOKUP(I24&amp;" "&amp;J24,Informations!$S$2:$V$8,3,FALSE)))+(O24*(VLOOKUP(I24&amp;" "&amp;J24,Informations!$S$2:$V$8,4,FALSE))))))</f>
      </c>
      <c r="Q24" s="45">
        <f t="shared" si="2"/>
        <v>0</v>
      </c>
      <c r="R24" s="45">
        <f t="shared" si="3"/>
        <v>0</v>
      </c>
      <c r="S24" s="22"/>
      <c r="T24" s="48" t="s">
        <v>34</v>
      </c>
      <c r="U24" s="40">
        <v>20</v>
      </c>
    </row>
    <row r="25" spans="1:21" ht="19.5" customHeight="1">
      <c r="A25" s="46">
        <v>15</v>
      </c>
      <c r="B25" s="42"/>
      <c r="C25" s="47"/>
      <c r="D25" s="69"/>
      <c r="E25" s="43"/>
      <c r="F25" s="43"/>
      <c r="G25" s="125"/>
      <c r="H25" s="125"/>
      <c r="I25" s="43"/>
      <c r="J25" s="43"/>
      <c r="K25" s="42"/>
      <c r="L25" s="109">
        <f t="shared" si="1"/>
      </c>
      <c r="M25" s="112">
        <f>IF(B25="","",IF(I25="Badge Only",200,IF(I25="","Choice option",IF(J25="","Choice Room",VLOOKUP(I25&amp;" "&amp;J25,Informations!$S$2:$V$8,2,FALSE)))))</f>
      </c>
      <c r="N25" s="109">
        <f t="shared" si="0"/>
      </c>
      <c r="O25" s="127"/>
      <c r="P25" s="44">
        <f>IF(M25="","",IF(I25="Badge Only",200,IF(OR((M25="Choice Room"),(M25="Choice option")),"",M25+(N25*(VLOOKUP(I25&amp;" "&amp;J25,Informations!$S$2:$V$8,3,FALSE)))+(O25*(VLOOKUP(I25&amp;" "&amp;J25,Informations!$S$2:$V$8,4,FALSE))))))</f>
      </c>
      <c r="Q25" s="45">
        <f t="shared" si="2"/>
        <v>0</v>
      </c>
      <c r="R25" s="45">
        <f t="shared" si="3"/>
        <v>0</v>
      </c>
      <c r="S25" s="22"/>
      <c r="T25" s="48" t="s">
        <v>35</v>
      </c>
      <c r="U25" s="40">
        <v>25</v>
      </c>
    </row>
    <row r="26" spans="1:21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0"/>
      <c r="N26" s="51"/>
      <c r="O26" s="154">
        <f>IF(SUM($P$11:$P$25)=0,"",SUM($P$11:$P$25))</f>
      </c>
      <c r="P26" s="155"/>
      <c r="Q26" s="45"/>
      <c r="R26" s="45"/>
      <c r="S26" s="22"/>
      <c r="T26" s="48" t="s">
        <v>36</v>
      </c>
      <c r="U26" s="40">
        <v>35</v>
      </c>
    </row>
    <row r="27" spans="1:19" ht="19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2" t="s">
        <v>37</v>
      </c>
      <c r="O27" s="53">
        <f>IF(COUNTIF(E11:E25,"200*")&gt;9,1,"")</f>
      </c>
      <c r="P27" s="54">
        <f>IF(O27=1,VLOOKUP($I$11,Informations!$M$1:$N$2,2,FALSE)*-1,"")</f>
      </c>
      <c r="Q27" s="45"/>
      <c r="R27" s="45"/>
      <c r="S27" s="22"/>
    </row>
    <row r="28" spans="1:19" ht="15.75">
      <c r="A28" s="160" t="s">
        <v>134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55"/>
      <c r="M28" s="55"/>
      <c r="N28" s="52" t="s">
        <v>38</v>
      </c>
      <c r="O28" s="156">
        <f>IF($O$26="","",IF($P$27="",$O$26,$O$26+$P$27))</f>
      </c>
      <c r="P28" s="157"/>
      <c r="Q28" s="56"/>
      <c r="R28" s="56"/>
      <c r="S28" s="22"/>
    </row>
    <row r="29" spans="1:19" ht="6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57"/>
      <c r="M29" s="57"/>
      <c r="N29" s="57"/>
      <c r="O29" s="57"/>
      <c r="P29" s="31"/>
      <c r="Q29" s="31"/>
      <c r="R29" s="31"/>
      <c r="S29" s="22"/>
    </row>
    <row r="30" spans="1:19" ht="12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23"/>
      <c r="M30" s="23"/>
      <c r="N30" s="23"/>
      <c r="O30" s="23"/>
      <c r="P30" s="31"/>
      <c r="Q30" s="31"/>
      <c r="R30" s="31"/>
      <c r="S30" s="22"/>
    </row>
    <row r="31" spans="1:19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58"/>
      <c r="M31" s="57" t="s">
        <v>39</v>
      </c>
      <c r="N31" s="153"/>
      <c r="O31" s="153"/>
      <c r="P31" s="153"/>
      <c r="Q31" s="33"/>
      <c r="R31" s="33"/>
      <c r="S31" s="22"/>
    </row>
    <row r="32" spans="1:19" ht="12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23"/>
      <c r="M32" s="59"/>
      <c r="N32" s="23"/>
      <c r="O32" s="23"/>
      <c r="P32" s="31"/>
      <c r="Q32" s="31"/>
      <c r="R32" s="31"/>
      <c r="S32" s="22"/>
    </row>
    <row r="33" spans="1:19" ht="12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23"/>
      <c r="M33" s="57" t="s">
        <v>41</v>
      </c>
      <c r="N33" s="152"/>
      <c r="O33" s="152"/>
      <c r="P33" s="152"/>
      <c r="Q33" s="33"/>
      <c r="R33" s="33"/>
      <c r="S33" s="22"/>
    </row>
    <row r="34" spans="1:19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23"/>
      <c r="M34" s="57" t="s">
        <v>43</v>
      </c>
      <c r="N34" s="153"/>
      <c r="O34" s="153"/>
      <c r="P34" s="153"/>
      <c r="Q34" s="33"/>
      <c r="R34" s="33"/>
      <c r="S34" s="22"/>
    </row>
    <row r="35" spans="1:19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23"/>
      <c r="M35" s="59"/>
      <c r="N35" s="60"/>
      <c r="O35" s="60"/>
      <c r="P35" s="60"/>
      <c r="Q35" s="23"/>
      <c r="R35" s="23"/>
      <c r="S35" s="22"/>
    </row>
    <row r="36" spans="1:19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23"/>
      <c r="M36" s="59"/>
      <c r="N36" s="23"/>
      <c r="O36" s="23"/>
      <c r="P36" s="23"/>
      <c r="Q36" s="23"/>
      <c r="R36" s="23"/>
      <c r="S36" s="22"/>
    </row>
    <row r="37" spans="1:19" ht="12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23"/>
      <c r="M37" s="57" t="s">
        <v>46</v>
      </c>
      <c r="N37" s="162"/>
      <c r="O37" s="153"/>
      <c r="P37" s="153"/>
      <c r="Q37" s="33"/>
      <c r="R37" s="33"/>
      <c r="S37" s="22"/>
    </row>
    <row r="38" spans="1:19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23"/>
      <c r="M38" s="23"/>
      <c r="N38" s="23"/>
      <c r="O38" s="23"/>
      <c r="P38" s="31"/>
      <c r="Q38" s="31"/>
      <c r="R38" s="31"/>
      <c r="S38" s="22"/>
    </row>
    <row r="39" spans="1:19" ht="12.75">
      <c r="A39" s="61" t="s">
        <v>47</v>
      </c>
      <c r="B39" s="22"/>
      <c r="C39" s="5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62"/>
      <c r="Q39" s="62"/>
      <c r="R39" s="62"/>
      <c r="S39" s="22"/>
    </row>
    <row r="40" spans="1:19" ht="12.75" hidden="1">
      <c r="A40" s="6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62"/>
      <c r="Q40" s="62"/>
      <c r="R40" s="62"/>
      <c r="S40" s="22"/>
    </row>
    <row r="41" spans="1:19" ht="12.75" hidden="1">
      <c r="A41" s="6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62"/>
      <c r="Q41" s="62"/>
      <c r="R41" s="62"/>
      <c r="S41" s="22"/>
    </row>
    <row r="42" spans="1:19" ht="12.75" hidden="1">
      <c r="A42" s="6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62"/>
      <c r="Q42" s="62"/>
      <c r="R42" s="62"/>
      <c r="S42" s="22"/>
    </row>
    <row r="43" ht="12.75" hidden="1"/>
    <row r="44" spans="2:4" ht="12.75" hidden="1">
      <c r="B44" s="1">
        <v>1</v>
      </c>
      <c r="C44" s="1">
        <v>1</v>
      </c>
      <c r="D44" s="1">
        <v>1989</v>
      </c>
    </row>
    <row r="45" spans="2:4" ht="12.75" hidden="1">
      <c r="B45" s="1">
        <v>2</v>
      </c>
      <c r="C45" s="1">
        <v>2</v>
      </c>
      <c r="D45" s="1">
        <v>1990</v>
      </c>
    </row>
    <row r="46" spans="2:4" ht="12.75" hidden="1">
      <c r="B46" s="1">
        <v>3</v>
      </c>
      <c r="C46" s="1">
        <v>3</v>
      </c>
      <c r="D46" s="1">
        <v>1991</v>
      </c>
    </row>
    <row r="47" spans="2:4" ht="12.75" hidden="1">
      <c r="B47" s="1">
        <v>4</v>
      </c>
      <c r="C47" s="1">
        <v>4</v>
      </c>
      <c r="D47" s="1">
        <v>1992</v>
      </c>
    </row>
    <row r="48" spans="2:4" ht="12.75" hidden="1">
      <c r="B48" s="1">
        <v>5</v>
      </c>
      <c r="C48" s="1">
        <v>5</v>
      </c>
      <c r="D48" s="1">
        <v>1993</v>
      </c>
    </row>
    <row r="49" spans="2:4" ht="12.75" hidden="1">
      <c r="B49" s="1">
        <v>6</v>
      </c>
      <c r="C49" s="1">
        <v>6</v>
      </c>
      <c r="D49" s="1">
        <v>1994</v>
      </c>
    </row>
    <row r="50" spans="2:4" ht="12.75" hidden="1">
      <c r="B50" s="1">
        <v>7</v>
      </c>
      <c r="C50" s="1">
        <v>7</v>
      </c>
      <c r="D50" s="1">
        <v>1995</v>
      </c>
    </row>
    <row r="51" spans="2:4" ht="12.75" hidden="1">
      <c r="B51" s="1">
        <v>8</v>
      </c>
      <c r="C51" s="1">
        <v>8</v>
      </c>
      <c r="D51" s="1">
        <v>1996</v>
      </c>
    </row>
    <row r="52" spans="2:4" ht="12.75" hidden="1">
      <c r="B52" s="1">
        <v>9</v>
      </c>
      <c r="C52" s="1">
        <v>9</v>
      </c>
      <c r="D52" s="1">
        <v>1997</v>
      </c>
    </row>
    <row r="53" spans="2:4" ht="12.75" hidden="1">
      <c r="B53" s="1">
        <v>10</v>
      </c>
      <c r="C53" s="1">
        <v>10</v>
      </c>
      <c r="D53" s="1">
        <v>1998</v>
      </c>
    </row>
    <row r="54" spans="2:4" ht="12.75" hidden="1">
      <c r="B54" s="1">
        <v>11</v>
      </c>
      <c r="C54" s="1">
        <v>11</v>
      </c>
      <c r="D54" s="1">
        <v>1999</v>
      </c>
    </row>
    <row r="55" spans="2:4" ht="12.75" hidden="1">
      <c r="B55" s="1">
        <v>12</v>
      </c>
      <c r="C55" s="1">
        <v>12</v>
      </c>
      <c r="D55" s="1">
        <v>2000</v>
      </c>
    </row>
    <row r="56" spans="2:4" ht="12.75" hidden="1">
      <c r="B56" s="1">
        <v>13</v>
      </c>
      <c r="D56" s="1">
        <v>2001</v>
      </c>
    </row>
    <row r="57" spans="2:4" ht="12.75" hidden="1">
      <c r="B57" s="1">
        <v>14</v>
      </c>
      <c r="D57" s="1">
        <v>2002</v>
      </c>
    </row>
    <row r="58" spans="2:4" ht="12.75" hidden="1">
      <c r="B58" s="1">
        <v>15</v>
      </c>
      <c r="D58" s="1">
        <v>2003</v>
      </c>
    </row>
    <row r="59" spans="2:4" ht="12.75" hidden="1">
      <c r="B59" s="1">
        <v>16</v>
      </c>
      <c r="D59" s="1">
        <v>2004</v>
      </c>
    </row>
    <row r="60" spans="2:4" ht="12.75" hidden="1">
      <c r="B60" s="1">
        <v>17</v>
      </c>
      <c r="D60" s="1">
        <v>2005</v>
      </c>
    </row>
    <row r="61" spans="2:4" ht="12.75" hidden="1">
      <c r="B61" s="1">
        <v>18</v>
      </c>
      <c r="D61" s="1">
        <v>2006</v>
      </c>
    </row>
    <row r="62" spans="2:4" ht="12.75" hidden="1">
      <c r="B62" s="1">
        <v>19</v>
      </c>
      <c r="D62" s="1">
        <v>2007</v>
      </c>
    </row>
    <row r="63" ht="12.75" hidden="1">
      <c r="B63" s="1">
        <v>20</v>
      </c>
    </row>
    <row r="64" ht="12.75" hidden="1">
      <c r="B64" s="1">
        <v>21</v>
      </c>
    </row>
    <row r="65" ht="12.75" hidden="1">
      <c r="B65" s="1">
        <v>22</v>
      </c>
    </row>
    <row r="66" ht="12.75" hidden="1">
      <c r="B66" s="1">
        <v>23</v>
      </c>
    </row>
    <row r="67" ht="12.75" hidden="1">
      <c r="B67" s="1">
        <v>24</v>
      </c>
    </row>
    <row r="68" ht="12.75" hidden="1">
      <c r="B68" s="1">
        <v>25</v>
      </c>
    </row>
    <row r="69" ht="12.75" hidden="1">
      <c r="B69" s="1">
        <v>26</v>
      </c>
    </row>
    <row r="70" ht="12.75" hidden="1">
      <c r="B70" s="1">
        <v>27</v>
      </c>
    </row>
    <row r="71" ht="12.75" hidden="1">
      <c r="B71" s="1">
        <v>28</v>
      </c>
    </row>
    <row r="72" ht="12.75" hidden="1">
      <c r="B72" s="1">
        <v>29</v>
      </c>
    </row>
    <row r="73" ht="12.75" hidden="1">
      <c r="B73" s="1">
        <v>30</v>
      </c>
    </row>
    <row r="74" ht="12.75" hidden="1">
      <c r="B74" s="1">
        <v>31</v>
      </c>
    </row>
  </sheetData>
  <sheetProtection sheet="1" selectLockedCells="1"/>
  <mergeCells count="18">
    <mergeCell ref="L8:L9"/>
    <mergeCell ref="P1:P2"/>
    <mergeCell ref="Q1:R1"/>
    <mergeCell ref="I2:K2"/>
    <mergeCell ref="I3:K3"/>
    <mergeCell ref="A6:G6"/>
    <mergeCell ref="H6:K6"/>
    <mergeCell ref="M6:N6"/>
    <mergeCell ref="N33:P33"/>
    <mergeCell ref="N34:P34"/>
    <mergeCell ref="O26:P26"/>
    <mergeCell ref="O28:P28"/>
    <mergeCell ref="N31:P31"/>
    <mergeCell ref="A8:A9"/>
    <mergeCell ref="A28:K38"/>
    <mergeCell ref="N37:P37"/>
    <mergeCell ref="B8:B9"/>
    <mergeCell ref="C8:C9"/>
  </mergeCells>
  <dataValidations count="6">
    <dataValidation type="list" allowBlank="1" showInputMessage="1" showErrorMessage="1" sqref="M26:M27">
      <formula1>$A$11:$A$25</formula1>
    </dataValidation>
    <dataValidation type="list" allowBlank="1" showInputMessage="1" showErrorMessage="1" sqref="L26:L27">
      <formula1>$A$38:$A$39</formula1>
    </dataValidation>
    <dataValidation type="list" allowBlank="1" showInputMessage="1" showErrorMessage="1" sqref="E11:E25">
      <formula1>list_cat</formula1>
    </dataValidation>
    <dataValidation type="list" allowBlank="1" showInputMessage="1" showErrorMessage="1" sqref="F11:F25">
      <formula1>List_Sex</formula1>
    </dataValidation>
    <dataValidation type="list" allowBlank="1" showInputMessage="1" showErrorMessage="1" sqref="I11:I25">
      <formula1>List_Package</formula1>
    </dataValidation>
    <dataValidation type="list" allowBlank="1" showInputMessage="1" showErrorMessage="1" sqref="J11:J25">
      <formula1>List_Chambres</formula1>
    </dataValidation>
  </dataValidations>
  <printOptions/>
  <pageMargins left="0.2" right="0.2" top="0.26" bottom="0.3" header="0.22" footer="0.31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GridLines="0" showRowColHeaders="0" zoomScalePageLayoutView="0" workbookViewId="0" topLeftCell="A1">
      <selection activeCell="F11" sqref="F11"/>
    </sheetView>
  </sheetViews>
  <sheetFormatPr defaultColWidth="0" defaultRowHeight="0" customHeight="1" zeroHeight="1"/>
  <cols>
    <col min="1" max="1" width="6.57421875" style="19" bestFit="1" customWidth="1"/>
    <col min="2" max="2" width="18.57421875" style="1" customWidth="1"/>
    <col min="3" max="3" width="13.421875" style="1" customWidth="1"/>
    <col min="4" max="4" width="11.57421875" style="1" bestFit="1" customWidth="1"/>
    <col min="5" max="5" width="11.8515625" style="1" bestFit="1" customWidth="1"/>
    <col min="6" max="6" width="9.57421875" style="1" bestFit="1" customWidth="1"/>
    <col min="7" max="7" width="9.57421875" style="1" customWidth="1"/>
    <col min="8" max="8" width="17.140625" style="1" customWidth="1"/>
    <col min="9" max="9" width="12.8515625" style="1" bestFit="1" customWidth="1"/>
    <col min="10" max="10" width="13.421875" style="1" customWidth="1"/>
    <col min="11" max="11" width="14.57421875" style="1" customWidth="1"/>
    <col min="12" max="12" width="11.421875" style="1" bestFit="1" customWidth="1"/>
    <col min="13" max="13" width="11.57421875" style="64" customWidth="1"/>
    <col min="14" max="15" width="11.57421875" style="64" hidden="1" customWidth="1"/>
    <col min="16" max="16" width="5.140625" style="1" hidden="1" customWidth="1"/>
    <col min="17" max="17" width="10.57421875" style="1" hidden="1" customWidth="1"/>
    <col min="18" max="21" width="11.421875" style="1" hidden="1" customWidth="1"/>
    <col min="22" max="23" width="11.421875" style="1" customWidth="1"/>
    <col min="24" max="243" width="11.421875" style="1" hidden="1" customWidth="1"/>
    <col min="244" max="16384" width="0" style="1" hidden="1" customWidth="1"/>
  </cols>
  <sheetData>
    <row r="1" spans="1:23" ht="18" customHeight="1">
      <c r="A1" s="20"/>
      <c r="B1" s="21" t="str">
        <f>'0 Information'!J2</f>
        <v>15th Euro Mini Champ's</v>
      </c>
      <c r="C1" s="20"/>
      <c r="D1" s="20"/>
      <c r="E1" s="20"/>
      <c r="F1" s="20"/>
      <c r="G1" s="22"/>
      <c r="H1" s="23"/>
      <c r="I1" s="24"/>
      <c r="J1" s="24"/>
      <c r="K1" s="24"/>
      <c r="L1" s="25"/>
      <c r="M1" s="169"/>
      <c r="N1" s="170"/>
      <c r="O1" s="170"/>
      <c r="P1" s="22"/>
      <c r="W1" s="169" t="s">
        <v>45</v>
      </c>
    </row>
    <row r="2" spans="1:23" ht="18" customHeight="1">
      <c r="A2" s="20"/>
      <c r="B2" s="21" t="str">
        <f>'0 Information'!J3</f>
        <v>SCHILTIGHEIM 23-25/08/2019</v>
      </c>
      <c r="C2" s="24"/>
      <c r="D2" s="24"/>
      <c r="E2" s="24"/>
      <c r="F2" s="24"/>
      <c r="G2" s="22"/>
      <c r="H2" s="23"/>
      <c r="I2" s="183" t="str">
        <f>"Deadline Accommodation : "&amp;TEXT(Informations!$B$8,"jj/mm/aaaa")</f>
        <v>Deadline Accommodation : 08/06/2019</v>
      </c>
      <c r="J2" s="184"/>
      <c r="K2" s="185"/>
      <c r="L2" s="27"/>
      <c r="M2" s="169"/>
      <c r="N2" s="28">
        <v>35</v>
      </c>
      <c r="O2" s="26"/>
      <c r="P2" s="22"/>
      <c r="W2" s="169"/>
    </row>
    <row r="3" spans="1:23" ht="18" customHeight="1">
      <c r="A3" s="24"/>
      <c r="B3" s="21" t="str">
        <f>IF('0 Information'!J4="","",'0 Information'!J4)</f>
        <v>http://www.eurominichamps.com</v>
      </c>
      <c r="C3" s="24"/>
      <c r="D3" s="24"/>
      <c r="E3" s="24"/>
      <c r="F3" s="24"/>
      <c r="G3" s="22"/>
      <c r="H3" s="23"/>
      <c r="I3" s="186" t="str">
        <f>"Deadline Travel Details:  "&amp;TEXT(Informations!$B$9,"jj/mm/aaaa")</f>
        <v>Deadline Travel Details:  05/07/2019</v>
      </c>
      <c r="J3" s="187"/>
      <c r="K3" s="188"/>
      <c r="L3" s="23"/>
      <c r="M3" s="29"/>
      <c r="N3" s="28"/>
      <c r="O3" s="29"/>
      <c r="P3" s="22"/>
      <c r="W3" s="29" t="s">
        <v>108</v>
      </c>
    </row>
    <row r="4" spans="1:24" ht="12.75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57" t="s">
        <v>46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X4" s="115"/>
    </row>
    <row r="5" spans="1:16" ht="6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1"/>
      <c r="N5" s="21"/>
      <c r="O5" s="31"/>
      <c r="P5" s="22"/>
    </row>
    <row r="6" spans="1:16" ht="19.5" customHeight="1">
      <c r="A6" s="177" t="s">
        <v>9</v>
      </c>
      <c r="B6" s="177"/>
      <c r="C6" s="177"/>
      <c r="D6" s="177"/>
      <c r="E6" s="177"/>
      <c r="F6" s="177"/>
      <c r="G6" s="178"/>
      <c r="H6" s="189">
        <f>IF(Accommodation!$H$6="","",Accommodation!$H$6)</f>
      </c>
      <c r="I6" s="189"/>
      <c r="J6" s="189"/>
      <c r="K6" s="190"/>
      <c r="L6" s="32"/>
      <c r="M6" s="31"/>
      <c r="N6" s="21"/>
      <c r="O6" s="31"/>
      <c r="P6" s="22"/>
    </row>
    <row r="7" spans="1:16" ht="6" customHeight="1">
      <c r="A7" s="3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1"/>
      <c r="N7" s="31"/>
      <c r="O7" s="31"/>
      <c r="P7" s="22"/>
    </row>
    <row r="8" spans="1:16" ht="12.75" customHeight="1">
      <c r="A8" s="158" t="s">
        <v>10</v>
      </c>
      <c r="B8" s="163" t="s">
        <v>16</v>
      </c>
      <c r="C8" s="165" t="s">
        <v>48</v>
      </c>
      <c r="D8" s="34" t="s">
        <v>56</v>
      </c>
      <c r="E8" s="34" t="s">
        <v>51</v>
      </c>
      <c r="F8" s="34" t="s">
        <v>99</v>
      </c>
      <c r="G8" s="35" t="s">
        <v>12</v>
      </c>
      <c r="H8" s="35" t="s">
        <v>100</v>
      </c>
      <c r="I8" s="35" t="s">
        <v>12</v>
      </c>
      <c r="J8" s="66" t="s">
        <v>103</v>
      </c>
      <c r="K8" s="35" t="s">
        <v>13</v>
      </c>
      <c r="L8" s="35" t="s">
        <v>13</v>
      </c>
      <c r="M8" s="66" t="s">
        <v>103</v>
      </c>
      <c r="N8" s="36"/>
      <c r="O8" s="36"/>
      <c r="P8" s="22"/>
    </row>
    <row r="9" spans="1:21" ht="12.75">
      <c r="A9" s="159"/>
      <c r="B9" s="164"/>
      <c r="C9" s="166"/>
      <c r="D9" s="67"/>
      <c r="E9" s="37" t="s">
        <v>52</v>
      </c>
      <c r="F9" s="34" t="s">
        <v>11</v>
      </c>
      <c r="G9" s="67" t="s">
        <v>50</v>
      </c>
      <c r="H9" s="67" t="s">
        <v>101</v>
      </c>
      <c r="I9" s="67" t="s">
        <v>102</v>
      </c>
      <c r="J9" s="67" t="s">
        <v>66</v>
      </c>
      <c r="K9" s="67" t="s">
        <v>104</v>
      </c>
      <c r="L9" s="67" t="s">
        <v>102</v>
      </c>
      <c r="M9" s="67" t="s">
        <v>66</v>
      </c>
      <c r="N9" s="33"/>
      <c r="O9" s="33"/>
      <c r="P9" s="22"/>
      <c r="R9" s="38" t="s">
        <v>19</v>
      </c>
      <c r="S9" s="38" t="s">
        <v>20</v>
      </c>
      <c r="T9" s="38" t="s">
        <v>17</v>
      </c>
      <c r="U9" s="38" t="s">
        <v>18</v>
      </c>
    </row>
    <row r="10" spans="1:21" ht="13.5" customHeight="1">
      <c r="A10" s="103" t="s">
        <v>53</v>
      </c>
      <c r="B10" s="104" t="s">
        <v>54</v>
      </c>
      <c r="C10" s="104" t="s">
        <v>55</v>
      </c>
      <c r="D10" s="105" t="s">
        <v>40</v>
      </c>
      <c r="E10" s="106" t="s">
        <v>42</v>
      </c>
      <c r="F10" s="106" t="s">
        <v>84</v>
      </c>
      <c r="G10" s="105">
        <v>42242</v>
      </c>
      <c r="H10" s="105" t="s">
        <v>105</v>
      </c>
      <c r="I10" s="113">
        <v>0.7430555555555555</v>
      </c>
      <c r="J10" s="106" t="s">
        <v>106</v>
      </c>
      <c r="K10" s="105">
        <v>42246</v>
      </c>
      <c r="L10" s="113">
        <v>0.6597222222222222</v>
      </c>
      <c r="M10" s="107" t="s">
        <v>107</v>
      </c>
      <c r="N10" s="38" t="s">
        <v>17</v>
      </c>
      <c r="O10" s="38" t="s">
        <v>18</v>
      </c>
      <c r="P10" s="22"/>
      <c r="Q10" s="39" t="s">
        <v>21</v>
      </c>
      <c r="R10" s="40">
        <f>PACK1+(3*_EN1)</f>
        <v>240</v>
      </c>
      <c r="S10" s="40">
        <f>2*_EN1</f>
        <v>40</v>
      </c>
      <c r="T10" s="40">
        <f>_EM1</f>
        <v>13</v>
      </c>
      <c r="U10" s="40">
        <f>2*_EN1</f>
        <v>40</v>
      </c>
    </row>
    <row r="11" spans="1:21" ht="19.5" customHeight="1">
      <c r="A11" s="41">
        <v>1</v>
      </c>
      <c r="B11" s="128">
        <f>IF(Accommodation!B11="","",Accommodation!B11)</f>
      </c>
      <c r="C11" s="128">
        <f>IF(Accommodation!C11="","",Accommodation!C11)</f>
      </c>
      <c r="D11" s="129">
        <f>IF(Accommodation!F11="","",Accommodation!F11)</f>
      </c>
      <c r="E11" s="129">
        <f>IF(Accommodation!E11="","",Accommodation!E11)</f>
      </c>
      <c r="F11" s="130"/>
      <c r="G11" s="129">
        <f>IF(Accommodation!G11="","",Accommodation!G11)</f>
      </c>
      <c r="H11" s="130"/>
      <c r="I11" s="131"/>
      <c r="J11" s="132"/>
      <c r="K11" s="129">
        <f>IF(Accommodation!H11="","",Accommodation!H11)</f>
      </c>
      <c r="L11" s="131"/>
      <c r="M11" s="132"/>
      <c r="N11" s="45" t="e">
        <f>IF(#REF!="",0,(VLOOKUP(#REF!,$Q$10:$U$16,4,FALSE)))</f>
        <v>#REF!</v>
      </c>
      <c r="O11" s="45">
        <f>IF(L11="",0,(VLOOKUP(#REF!,$Q$10:$U$16,5,FALSE)))</f>
        <v>0</v>
      </c>
      <c r="P11" s="22"/>
      <c r="Q11" s="39" t="s">
        <v>22</v>
      </c>
      <c r="R11" s="40">
        <f>PACK1</f>
        <v>180</v>
      </c>
      <c r="S11" s="40"/>
      <c r="T11" s="40">
        <f>_EM1</f>
        <v>13</v>
      </c>
      <c r="U11" s="40">
        <f>_EN1</f>
        <v>20</v>
      </c>
    </row>
    <row r="12" spans="1:21" ht="19.5" customHeight="1">
      <c r="A12" s="46">
        <v>2</v>
      </c>
      <c r="B12" s="128">
        <f>IF(Accommodation!B12="","",Accommodation!B12)</f>
      </c>
      <c r="C12" s="128">
        <f>IF(Accommodation!C12="","",Accommodation!C12)</f>
      </c>
      <c r="D12" s="129">
        <f>IF(Accommodation!F12="","",Accommodation!F12)</f>
      </c>
      <c r="E12" s="129">
        <f>IF(Accommodation!E12="","",Accommodation!E12)</f>
      </c>
      <c r="F12" s="130"/>
      <c r="G12" s="129">
        <f>IF(Accommodation!G12="","",Accommodation!G12)</f>
      </c>
      <c r="H12" s="130"/>
      <c r="I12" s="131"/>
      <c r="J12" s="132"/>
      <c r="K12" s="129">
        <f>IF(Accommodation!H12="","",Accommodation!H12)</f>
      </c>
      <c r="L12" s="131"/>
      <c r="M12" s="132"/>
      <c r="N12" s="45" t="e">
        <f>IF(#REF!="",0,(VLOOKUP(#REF!,$Q$10:$U$16,4,FALSE)))</f>
        <v>#REF!</v>
      </c>
      <c r="O12" s="45">
        <f>IF(L12="",0,(VLOOKUP(#REF!,$Q$10:$U$16,5,FALSE)))</f>
        <v>0</v>
      </c>
      <c r="P12" s="22"/>
      <c r="Q12" s="39" t="s">
        <v>23</v>
      </c>
      <c r="R12" s="40">
        <f>PACK1-_EN1</f>
        <v>160</v>
      </c>
      <c r="S12" s="40"/>
      <c r="T12" s="40">
        <f>_EM1</f>
        <v>13</v>
      </c>
      <c r="U12" s="40">
        <f>_EN1</f>
        <v>20</v>
      </c>
    </row>
    <row r="13" spans="1:21" ht="19.5" customHeight="1">
      <c r="A13" s="46">
        <v>3</v>
      </c>
      <c r="B13" s="128">
        <f>IF(Accommodation!B13="","",Accommodation!B13)</f>
      </c>
      <c r="C13" s="128">
        <f>IF(Accommodation!C13="","",Accommodation!C13)</f>
      </c>
      <c r="D13" s="129">
        <f>IF(Accommodation!F13="","",Accommodation!F13)</f>
      </c>
      <c r="E13" s="129">
        <f>IF(Accommodation!E13="","",Accommodation!E13)</f>
      </c>
      <c r="F13" s="130"/>
      <c r="G13" s="129">
        <f>IF(Accommodation!G13="","",Accommodation!G13)</f>
      </c>
      <c r="H13" s="130"/>
      <c r="I13" s="131"/>
      <c r="J13" s="132"/>
      <c r="K13" s="129">
        <f>IF(Accommodation!H13="","",Accommodation!H13)</f>
      </c>
      <c r="L13" s="131"/>
      <c r="M13" s="132"/>
      <c r="N13" s="45" t="e">
        <f>IF(#REF!="",0,(VLOOKUP(#REF!,$Q$10:$U$16,4,FALSE)))</f>
        <v>#REF!</v>
      </c>
      <c r="O13" s="45">
        <f>IF(L13="",0,(VLOOKUP(#REF!,$Q$10:$U$16,5,FALSE)))</f>
        <v>0</v>
      </c>
      <c r="P13" s="22"/>
      <c r="Q13" s="39" t="s">
        <v>24</v>
      </c>
      <c r="R13" s="40">
        <f>PACK2+(3*_EN2)</f>
        <v>265</v>
      </c>
      <c r="S13" s="40">
        <f>2*_EN2</f>
        <v>50</v>
      </c>
      <c r="T13" s="40">
        <f>_EM2</f>
        <v>13</v>
      </c>
      <c r="U13" s="40">
        <f>2*_EN2</f>
        <v>50</v>
      </c>
    </row>
    <row r="14" spans="1:21" ht="19.5" customHeight="1">
      <c r="A14" s="46">
        <v>4</v>
      </c>
      <c r="B14" s="128">
        <f>IF(Accommodation!B14="","",Accommodation!B14)</f>
      </c>
      <c r="C14" s="128">
        <f>IF(Accommodation!C14="","",Accommodation!C14)</f>
      </c>
      <c r="D14" s="129">
        <f>IF(Accommodation!F14="","",Accommodation!F14)</f>
      </c>
      <c r="E14" s="129">
        <f>IF(Accommodation!E14="","",Accommodation!E14)</f>
      </c>
      <c r="F14" s="130"/>
      <c r="G14" s="129">
        <f>IF(Accommodation!G14="","",Accommodation!G14)</f>
      </c>
      <c r="H14" s="130"/>
      <c r="I14" s="131"/>
      <c r="J14" s="132"/>
      <c r="K14" s="129">
        <f>IF(Accommodation!H14="","",Accommodation!H14)</f>
      </c>
      <c r="L14" s="131"/>
      <c r="M14" s="132"/>
      <c r="N14" s="45" t="e">
        <f>IF(#REF!="",0,(VLOOKUP(#REF!,$Q$10:$U$16,4,FALSE)))</f>
        <v>#REF!</v>
      </c>
      <c r="O14" s="45">
        <f>IF(L14="",0,(VLOOKUP(#REF!,$Q$10:$U$16,5,FALSE)))</f>
        <v>0</v>
      </c>
      <c r="P14" s="22"/>
      <c r="Q14" s="39" t="s">
        <v>25</v>
      </c>
      <c r="R14" s="40">
        <f>PACK2</f>
        <v>190</v>
      </c>
      <c r="S14" s="40"/>
      <c r="T14" s="40">
        <f>_EM2</f>
        <v>13</v>
      </c>
      <c r="U14" s="40">
        <f>_EN2</f>
        <v>25</v>
      </c>
    </row>
    <row r="15" spans="1:21" ht="19.5" customHeight="1">
      <c r="A15" s="46">
        <v>5</v>
      </c>
      <c r="B15" s="128">
        <f>IF(Accommodation!B15="","",Accommodation!B15)</f>
      </c>
      <c r="C15" s="128">
        <f>IF(Accommodation!C15="","",Accommodation!C15)</f>
      </c>
      <c r="D15" s="129">
        <f>IF(Accommodation!F15="","",Accommodation!F15)</f>
      </c>
      <c r="E15" s="129">
        <f>IF(Accommodation!E15="","",Accommodation!E15)</f>
      </c>
      <c r="F15" s="130"/>
      <c r="G15" s="129">
        <f>IF(Accommodation!G15="","",Accommodation!G15)</f>
      </c>
      <c r="H15" s="130"/>
      <c r="I15" s="131"/>
      <c r="J15" s="132"/>
      <c r="K15" s="129">
        <f>IF(Accommodation!H15="","",Accommodation!H15)</f>
      </c>
      <c r="L15" s="131"/>
      <c r="M15" s="132"/>
      <c r="N15" s="45" t="e">
        <f>IF(#REF!="",0,(VLOOKUP(#REF!,$Q$10:$U$16,4,FALSE)))</f>
        <v>#REF!</v>
      </c>
      <c r="O15" s="45">
        <f>IF(L15="",0,(VLOOKUP(#REF!,$Q$10:$U$16,5,FALSE)))</f>
        <v>0</v>
      </c>
      <c r="P15" s="22"/>
      <c r="Q15" s="39" t="s">
        <v>26</v>
      </c>
      <c r="R15" s="40" t="e">
        <f>PACKFULL+(3*_ENFULL)</f>
        <v>#REF!</v>
      </c>
      <c r="S15" s="40" t="e">
        <f>2*_ENFULL</f>
        <v>#REF!</v>
      </c>
      <c r="T15" s="40">
        <f>_EMFULL</f>
        <v>13</v>
      </c>
      <c r="U15" s="40" t="e">
        <f>2*_ENFULL</f>
        <v>#REF!</v>
      </c>
    </row>
    <row r="16" spans="1:21" ht="19.5" customHeight="1">
      <c r="A16" s="46">
        <v>6</v>
      </c>
      <c r="B16" s="128">
        <f>IF(Accommodation!B16="","",Accommodation!B16)</f>
      </c>
      <c r="C16" s="128">
        <f>IF(Accommodation!C16="","",Accommodation!C16)</f>
      </c>
      <c r="D16" s="129">
        <f>IF(Accommodation!F16="","",Accommodation!F16)</f>
      </c>
      <c r="E16" s="129">
        <f>IF(Accommodation!E16="","",Accommodation!E16)</f>
      </c>
      <c r="F16" s="130"/>
      <c r="G16" s="129">
        <f>IF(Accommodation!G16="","",Accommodation!G16)</f>
      </c>
      <c r="H16" s="130"/>
      <c r="I16" s="131"/>
      <c r="J16" s="132"/>
      <c r="K16" s="129">
        <f>IF(Accommodation!H16="","",Accommodation!H16)</f>
      </c>
      <c r="L16" s="131"/>
      <c r="M16" s="132"/>
      <c r="N16" s="45" t="e">
        <f>IF(#REF!="",0,(VLOOKUP(#REF!,$Q$10:$U$16,4,FALSE)))</f>
        <v>#REF!</v>
      </c>
      <c r="O16" s="45">
        <f>IF(L16="",0,(VLOOKUP(#REF!,$Q$10:$U$16,5,FALSE)))</f>
        <v>0</v>
      </c>
      <c r="P16" s="22"/>
      <c r="Q16" s="39" t="s">
        <v>27</v>
      </c>
      <c r="R16" s="40">
        <f>PACKFULL</f>
        <v>210</v>
      </c>
      <c r="S16" s="40"/>
      <c r="T16" s="40">
        <f>_EMFULL</f>
        <v>13</v>
      </c>
      <c r="U16" s="40" t="e">
        <f>_ENFULL</f>
        <v>#REF!</v>
      </c>
    </row>
    <row r="17" spans="1:16" ht="19.5" customHeight="1">
      <c r="A17" s="46">
        <v>7</v>
      </c>
      <c r="B17" s="128">
        <f>IF(Accommodation!B17="","",Accommodation!B17)</f>
      </c>
      <c r="C17" s="128">
        <f>IF(Accommodation!C17="","",Accommodation!C17)</f>
      </c>
      <c r="D17" s="129">
        <f>IF(Accommodation!F17="","",Accommodation!F17)</f>
      </c>
      <c r="E17" s="129">
        <f>IF(Accommodation!E17="","",Accommodation!E17)</f>
      </c>
      <c r="F17" s="130"/>
      <c r="G17" s="129">
        <f>IF(Accommodation!G17="","",Accommodation!G17)</f>
      </c>
      <c r="H17" s="130"/>
      <c r="I17" s="131"/>
      <c r="J17" s="132"/>
      <c r="K17" s="129">
        <f>IF(Accommodation!H17="","",Accommodation!H17)</f>
      </c>
      <c r="L17" s="131"/>
      <c r="M17" s="132"/>
      <c r="N17" s="45" t="e">
        <f>IF(#REF!="",0,(VLOOKUP(#REF!,$Q$10:$U$16,4,FALSE)))</f>
        <v>#REF!</v>
      </c>
      <c r="O17" s="45">
        <f>IF(L17="",0,(VLOOKUP(#REF!,$Q$10:$U$16,5,FALSE)))</f>
        <v>0</v>
      </c>
      <c r="P17" s="22"/>
    </row>
    <row r="18" spans="1:18" ht="19.5" customHeight="1">
      <c r="A18" s="46">
        <v>8</v>
      </c>
      <c r="B18" s="128">
        <f>IF(Accommodation!B18="","",Accommodation!B18)</f>
      </c>
      <c r="C18" s="128">
        <f>IF(Accommodation!C18="","",Accommodation!C18)</f>
      </c>
      <c r="D18" s="129">
        <f>IF(Accommodation!F18="","",Accommodation!F18)</f>
      </c>
      <c r="E18" s="129">
        <f>IF(Accommodation!E18="","",Accommodation!E18)</f>
      </c>
      <c r="F18" s="130"/>
      <c r="G18" s="129">
        <f>IF(Accommodation!G18="","",Accommodation!G18)</f>
      </c>
      <c r="H18" s="130"/>
      <c r="I18" s="131"/>
      <c r="J18" s="132"/>
      <c r="K18" s="129">
        <f>IF(Accommodation!H18="","",Accommodation!H18)</f>
      </c>
      <c r="L18" s="131"/>
      <c r="M18" s="132"/>
      <c r="N18" s="45" t="e">
        <f>IF(#REF!="",0,(VLOOKUP(#REF!,$Q$10:$U$16,4,FALSE)))</f>
        <v>#REF!</v>
      </c>
      <c r="O18" s="45">
        <f>IF(L18="",0,(VLOOKUP(#REF!,$Q$10:$U$16,5,FALSE)))</f>
        <v>0</v>
      </c>
      <c r="P18" s="22"/>
      <c r="Q18" s="48" t="s">
        <v>28</v>
      </c>
      <c r="R18" s="40">
        <v>180</v>
      </c>
    </row>
    <row r="19" spans="1:18" ht="19.5" customHeight="1">
      <c r="A19" s="46">
        <v>9</v>
      </c>
      <c r="B19" s="128">
        <f>IF(Accommodation!B19="","",Accommodation!B19)</f>
      </c>
      <c r="C19" s="128">
        <f>IF(Accommodation!C19="","",Accommodation!C19)</f>
      </c>
      <c r="D19" s="129">
        <f>IF(Accommodation!F19="","",Accommodation!F19)</f>
      </c>
      <c r="E19" s="129">
        <f>IF(Accommodation!E19="","",Accommodation!E19)</f>
      </c>
      <c r="F19" s="130"/>
      <c r="G19" s="129">
        <f>IF(Accommodation!G19="","",Accommodation!G19)</f>
      </c>
      <c r="H19" s="130"/>
      <c r="I19" s="131"/>
      <c r="J19" s="132"/>
      <c r="K19" s="129">
        <f>IF(Accommodation!H19="","",Accommodation!H19)</f>
      </c>
      <c r="L19" s="131"/>
      <c r="M19" s="132"/>
      <c r="N19" s="45" t="e">
        <f>IF(#REF!="",0,(VLOOKUP(#REF!,$Q$10:$U$16,4,FALSE)))</f>
        <v>#REF!</v>
      </c>
      <c r="O19" s="45">
        <f>IF(L19="",0,(VLOOKUP(#REF!,$Q$10:$U$16,5,FALSE)))</f>
        <v>0</v>
      </c>
      <c r="P19" s="22"/>
      <c r="Q19" s="48" t="s">
        <v>29</v>
      </c>
      <c r="R19" s="40">
        <v>190</v>
      </c>
    </row>
    <row r="20" spans="1:18" ht="19.5" customHeight="1">
      <c r="A20" s="46">
        <v>10</v>
      </c>
      <c r="B20" s="128">
        <f>IF(Accommodation!B20="","",Accommodation!B20)</f>
      </c>
      <c r="C20" s="128">
        <f>IF(Accommodation!C20="","",Accommodation!C20)</f>
      </c>
      <c r="D20" s="129">
        <f>IF(Accommodation!F20="","",Accommodation!F20)</f>
      </c>
      <c r="E20" s="129">
        <f>IF(Accommodation!E20="","",Accommodation!E20)</f>
      </c>
      <c r="F20" s="130"/>
      <c r="G20" s="129">
        <f>IF(Accommodation!G20="","",Accommodation!G20)</f>
      </c>
      <c r="H20" s="130"/>
      <c r="I20" s="131"/>
      <c r="J20" s="132"/>
      <c r="K20" s="129">
        <f>IF(Accommodation!H20="","",Accommodation!H20)</f>
      </c>
      <c r="L20" s="131"/>
      <c r="M20" s="132"/>
      <c r="N20" s="45" t="e">
        <f>IF(#REF!="",0,(VLOOKUP(#REF!,$Q$10:$U$16,4,FALSE)))</f>
        <v>#REF!</v>
      </c>
      <c r="O20" s="45">
        <f>IF(L20="",0,(VLOOKUP(#REF!,$Q$10:$U$16,5,FALSE)))</f>
        <v>0</v>
      </c>
      <c r="P20" s="22"/>
      <c r="Q20" s="48" t="s">
        <v>30</v>
      </c>
      <c r="R20" s="40">
        <v>210</v>
      </c>
    </row>
    <row r="21" spans="1:18" ht="19.5" customHeight="1">
      <c r="A21" s="46">
        <v>11</v>
      </c>
      <c r="B21" s="128">
        <f>IF(Accommodation!B21="","",Accommodation!B21)</f>
      </c>
      <c r="C21" s="128">
        <f>IF(Accommodation!C21="","",Accommodation!C21)</f>
      </c>
      <c r="D21" s="129">
        <f>IF(Accommodation!F21="","",Accommodation!F21)</f>
      </c>
      <c r="E21" s="129">
        <f>IF(Accommodation!E21="","",Accommodation!E21)</f>
      </c>
      <c r="F21" s="130"/>
      <c r="G21" s="129">
        <f>IF(Accommodation!G21="","",Accommodation!G21)</f>
      </c>
      <c r="H21" s="130"/>
      <c r="I21" s="131"/>
      <c r="J21" s="132"/>
      <c r="K21" s="129">
        <f>IF(Accommodation!H21="","",Accommodation!H21)</f>
      </c>
      <c r="L21" s="131"/>
      <c r="M21" s="132"/>
      <c r="N21" s="45" t="e">
        <f>IF(#REF!="",0,(VLOOKUP(#REF!,$Q$10:$U$16,4,FALSE)))</f>
        <v>#REF!</v>
      </c>
      <c r="O21" s="45">
        <f>IF(L21="",0,(VLOOKUP(#REF!,$Q$10:$U$16,5,FALSE)))</f>
        <v>0</v>
      </c>
      <c r="P21" s="22"/>
      <c r="Q21" s="48" t="s">
        <v>31</v>
      </c>
      <c r="R21" s="40">
        <v>13</v>
      </c>
    </row>
    <row r="22" spans="1:18" ht="19.5" customHeight="1">
      <c r="A22" s="46">
        <v>12</v>
      </c>
      <c r="B22" s="128">
        <f>IF(Accommodation!B22="","",Accommodation!B22)</f>
      </c>
      <c r="C22" s="128">
        <f>IF(Accommodation!C22="","",Accommodation!C22)</f>
      </c>
      <c r="D22" s="129">
        <f>IF(Accommodation!F22="","",Accommodation!F22)</f>
      </c>
      <c r="E22" s="129">
        <f>IF(Accommodation!E22="","",Accommodation!E22)</f>
      </c>
      <c r="F22" s="130"/>
      <c r="G22" s="129">
        <f>IF(Accommodation!G22="","",Accommodation!G22)</f>
      </c>
      <c r="H22" s="130"/>
      <c r="I22" s="131"/>
      <c r="J22" s="132"/>
      <c r="K22" s="129">
        <f>IF(Accommodation!H22="","",Accommodation!H22)</f>
      </c>
      <c r="L22" s="131"/>
      <c r="M22" s="132"/>
      <c r="N22" s="45" t="e">
        <f>IF(#REF!="",0,(VLOOKUP(#REF!,$Q$10:$U$16,4,FALSE)))</f>
        <v>#REF!</v>
      </c>
      <c r="O22" s="45">
        <f>IF(L22="",0,(VLOOKUP(#REF!,$Q$10:$U$16,5,FALSE)))</f>
        <v>0</v>
      </c>
      <c r="P22" s="22"/>
      <c r="Q22" s="48" t="s">
        <v>32</v>
      </c>
      <c r="R22" s="40">
        <v>13</v>
      </c>
    </row>
    <row r="23" spans="1:18" ht="19.5" customHeight="1">
      <c r="A23" s="46">
        <v>13</v>
      </c>
      <c r="B23" s="128">
        <f>IF(Accommodation!B23="","",Accommodation!B23)</f>
      </c>
      <c r="C23" s="128">
        <f>IF(Accommodation!C23="","",Accommodation!C23)</f>
      </c>
      <c r="D23" s="129">
        <f>IF(Accommodation!F23="","",Accommodation!F23)</f>
      </c>
      <c r="E23" s="129">
        <f>IF(Accommodation!E23="","",Accommodation!E23)</f>
      </c>
      <c r="F23" s="130"/>
      <c r="G23" s="129">
        <f>IF(Accommodation!G23="","",Accommodation!G23)</f>
      </c>
      <c r="H23" s="130"/>
      <c r="I23" s="131"/>
      <c r="J23" s="132"/>
      <c r="K23" s="129">
        <f>IF(Accommodation!H23="","",Accommodation!H23)</f>
      </c>
      <c r="L23" s="131"/>
      <c r="M23" s="132"/>
      <c r="N23" s="45" t="e">
        <f>IF(#REF!="",0,(VLOOKUP(#REF!,$Q$10:$U$16,4,FALSE)))</f>
        <v>#REF!</v>
      </c>
      <c r="O23" s="45">
        <f>IF(L23="",0,(VLOOKUP(#REF!,$Q$10:$U$16,5,FALSE)))</f>
        <v>0</v>
      </c>
      <c r="P23" s="22"/>
      <c r="Q23" s="48" t="s">
        <v>33</v>
      </c>
      <c r="R23" s="40">
        <v>13</v>
      </c>
    </row>
    <row r="24" spans="1:18" ht="19.5" customHeight="1">
      <c r="A24" s="46">
        <v>14</v>
      </c>
      <c r="B24" s="128">
        <f>IF(Accommodation!B24="","",Accommodation!B24)</f>
      </c>
      <c r="C24" s="128">
        <f>IF(Accommodation!C24="","",Accommodation!C24)</f>
      </c>
      <c r="D24" s="129">
        <f>IF(Accommodation!F24="","",Accommodation!F24)</f>
      </c>
      <c r="E24" s="129">
        <f>IF(Accommodation!E24="","",Accommodation!E24)</f>
      </c>
      <c r="F24" s="130"/>
      <c r="G24" s="129">
        <f>IF(Accommodation!G24="","",Accommodation!G24)</f>
      </c>
      <c r="H24" s="130"/>
      <c r="I24" s="131"/>
      <c r="J24" s="132"/>
      <c r="K24" s="129">
        <f>IF(Accommodation!H24="","",Accommodation!H24)</f>
      </c>
      <c r="L24" s="131"/>
      <c r="M24" s="132"/>
      <c r="N24" s="45" t="e">
        <f>IF(#REF!="",0,(VLOOKUP(#REF!,$Q$10:$U$16,4,FALSE)))</f>
        <v>#REF!</v>
      </c>
      <c r="O24" s="45">
        <f>IF(L24="",0,(VLOOKUP(#REF!,$Q$10:$U$16,5,FALSE)))</f>
        <v>0</v>
      </c>
      <c r="P24" s="22"/>
      <c r="Q24" s="48" t="s">
        <v>34</v>
      </c>
      <c r="R24" s="40">
        <v>20</v>
      </c>
    </row>
    <row r="25" spans="1:18" ht="19.5" customHeight="1">
      <c r="A25" s="46">
        <v>15</v>
      </c>
      <c r="B25" s="128">
        <f>IF(Accommodation!B25="","",Accommodation!B25)</f>
      </c>
      <c r="C25" s="128">
        <f>IF(Accommodation!C25="","",Accommodation!C25)</f>
      </c>
      <c r="D25" s="129">
        <f>IF(Accommodation!F25="","",Accommodation!F25)</f>
      </c>
      <c r="E25" s="129">
        <f>IF(Accommodation!E25="","",Accommodation!E25)</f>
      </c>
      <c r="F25" s="130"/>
      <c r="G25" s="129">
        <f>IF(Accommodation!G25="","",Accommodation!G25)</f>
      </c>
      <c r="H25" s="130"/>
      <c r="I25" s="131"/>
      <c r="J25" s="132"/>
      <c r="K25" s="129">
        <f>IF(Accommodation!H25="","",Accommodation!H25)</f>
      </c>
      <c r="L25" s="131"/>
      <c r="M25" s="132"/>
      <c r="N25" s="45" t="e">
        <f>IF(#REF!="",0,(VLOOKUP(#REF!,$Q$10:$U$16,4,FALSE)))</f>
        <v>#REF!</v>
      </c>
      <c r="O25" s="45">
        <f>IF(L25="",0,(VLOOKUP(#REF!,$Q$10:$U$16,5,FALSE)))</f>
        <v>0</v>
      </c>
      <c r="P25" s="22"/>
      <c r="Q25" s="48" t="s">
        <v>35</v>
      </c>
      <c r="R25" s="40">
        <v>25</v>
      </c>
    </row>
    <row r="26" spans="1:16" ht="12.75" hidden="1">
      <c r="A26" s="61" t="s">
        <v>47</v>
      </c>
      <c r="B26" s="22"/>
      <c r="C26" s="58"/>
      <c r="D26" s="22"/>
      <c r="E26" s="22"/>
      <c r="F26" s="22"/>
      <c r="G26" s="22"/>
      <c r="H26" s="22"/>
      <c r="I26" s="22"/>
      <c r="J26" s="22"/>
      <c r="K26" s="22"/>
      <c r="L26" s="22"/>
      <c r="M26" s="62"/>
      <c r="N26" s="62"/>
      <c r="O26" s="62"/>
      <c r="P26" s="22"/>
    </row>
    <row r="27" spans="1:16" ht="12.75" hidden="1">
      <c r="A27" s="6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62"/>
      <c r="N27" s="62"/>
      <c r="O27" s="62"/>
      <c r="P27" s="22"/>
    </row>
    <row r="28" spans="1:16" ht="12.75" hidden="1">
      <c r="A28" s="6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2"/>
      <c r="N28" s="62"/>
      <c r="O28" s="62"/>
      <c r="P28" s="22"/>
    </row>
    <row r="29" spans="1:16" ht="12.75" hidden="1">
      <c r="A29" s="6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62"/>
      <c r="N29" s="62"/>
      <c r="O29" s="62"/>
      <c r="P29" s="22"/>
    </row>
    <row r="30" ht="12.75" hidden="1"/>
    <row r="31" spans="2:4" ht="12.75" hidden="1">
      <c r="B31" s="1">
        <v>1</v>
      </c>
      <c r="C31" s="1">
        <v>1</v>
      </c>
      <c r="D31" s="1">
        <v>1989</v>
      </c>
    </row>
    <row r="32" spans="2:4" ht="12.75" hidden="1">
      <c r="B32" s="1">
        <v>2</v>
      </c>
      <c r="C32" s="1">
        <v>2</v>
      </c>
      <c r="D32" s="1">
        <v>1990</v>
      </c>
    </row>
    <row r="33" spans="2:4" ht="12.75" hidden="1">
      <c r="B33" s="1">
        <v>3</v>
      </c>
      <c r="C33" s="1">
        <v>3</v>
      </c>
      <c r="D33" s="1">
        <v>1991</v>
      </c>
    </row>
    <row r="34" spans="2:4" ht="12.75" hidden="1">
      <c r="B34" s="1">
        <v>4</v>
      </c>
      <c r="C34" s="1">
        <v>4</v>
      </c>
      <c r="D34" s="1">
        <v>1992</v>
      </c>
    </row>
    <row r="35" spans="2:4" ht="12.75" hidden="1">
      <c r="B35" s="1">
        <v>5</v>
      </c>
      <c r="C35" s="1">
        <v>5</v>
      </c>
      <c r="D35" s="1">
        <v>1993</v>
      </c>
    </row>
    <row r="36" spans="2:4" ht="12.75" hidden="1">
      <c r="B36" s="1">
        <v>6</v>
      </c>
      <c r="C36" s="1">
        <v>6</v>
      </c>
      <c r="D36" s="1">
        <v>1994</v>
      </c>
    </row>
    <row r="37" spans="2:4" ht="12.75" hidden="1">
      <c r="B37" s="1">
        <v>7</v>
      </c>
      <c r="C37" s="1">
        <v>7</v>
      </c>
      <c r="D37" s="1">
        <v>1995</v>
      </c>
    </row>
    <row r="38" spans="2:4" ht="12.75" hidden="1">
      <c r="B38" s="1">
        <v>8</v>
      </c>
      <c r="C38" s="1">
        <v>8</v>
      </c>
      <c r="D38" s="1">
        <v>1996</v>
      </c>
    </row>
    <row r="39" spans="2:4" ht="12.75" hidden="1">
      <c r="B39" s="1">
        <v>9</v>
      </c>
      <c r="C39" s="1">
        <v>9</v>
      </c>
      <c r="D39" s="1">
        <v>1997</v>
      </c>
    </row>
    <row r="40" spans="2:4" ht="12.75" hidden="1">
      <c r="B40" s="1">
        <v>10</v>
      </c>
      <c r="C40" s="1">
        <v>10</v>
      </c>
      <c r="D40" s="1">
        <v>1998</v>
      </c>
    </row>
    <row r="41" spans="2:4" ht="12.75" hidden="1">
      <c r="B41" s="1">
        <v>11</v>
      </c>
      <c r="C41" s="1">
        <v>11</v>
      </c>
      <c r="D41" s="1">
        <v>1999</v>
      </c>
    </row>
    <row r="42" spans="2:4" ht="12.75" hidden="1">
      <c r="B42" s="1">
        <v>12</v>
      </c>
      <c r="C42" s="1">
        <v>12</v>
      </c>
      <c r="D42" s="1">
        <v>2000</v>
      </c>
    </row>
    <row r="43" spans="2:4" ht="12.75" hidden="1">
      <c r="B43" s="1">
        <v>13</v>
      </c>
      <c r="D43" s="1">
        <v>2001</v>
      </c>
    </row>
    <row r="44" spans="2:4" ht="12.75" hidden="1">
      <c r="B44" s="1">
        <v>14</v>
      </c>
      <c r="D44" s="1">
        <v>2002</v>
      </c>
    </row>
    <row r="45" spans="2:4" ht="12.75" hidden="1">
      <c r="B45" s="1">
        <v>15</v>
      </c>
      <c r="D45" s="1">
        <v>2003</v>
      </c>
    </row>
    <row r="46" spans="2:4" ht="12.75" hidden="1">
      <c r="B46" s="1">
        <v>16</v>
      </c>
      <c r="D46" s="1">
        <v>2004</v>
      </c>
    </row>
    <row r="47" spans="2:4" ht="12.75" hidden="1">
      <c r="B47" s="1">
        <v>17</v>
      </c>
      <c r="D47" s="1">
        <v>2005</v>
      </c>
    </row>
    <row r="48" spans="2:4" ht="12.75" hidden="1">
      <c r="B48" s="1">
        <v>18</v>
      </c>
      <c r="D48" s="1">
        <v>2006</v>
      </c>
    </row>
    <row r="49" spans="2:4" ht="12.75" hidden="1">
      <c r="B49" s="1">
        <v>19</v>
      </c>
      <c r="D49" s="1">
        <v>2007</v>
      </c>
    </row>
    <row r="50" ht="12.75" hidden="1">
      <c r="B50" s="1">
        <v>20</v>
      </c>
    </row>
    <row r="51" ht="12.75" hidden="1">
      <c r="B51" s="1">
        <v>21</v>
      </c>
    </row>
    <row r="52" ht="12.75" hidden="1">
      <c r="B52" s="1">
        <v>22</v>
      </c>
    </row>
    <row r="53" ht="12.75" hidden="1">
      <c r="B53" s="1">
        <v>23</v>
      </c>
    </row>
    <row r="54" ht="12.75" hidden="1">
      <c r="B54" s="1">
        <v>24</v>
      </c>
    </row>
    <row r="55" ht="12.75" hidden="1">
      <c r="B55" s="1">
        <v>25</v>
      </c>
    </row>
    <row r="56" ht="12.75" hidden="1">
      <c r="B56" s="1">
        <v>26</v>
      </c>
    </row>
    <row r="57" ht="12.75" hidden="1">
      <c r="B57" s="1">
        <v>27</v>
      </c>
    </row>
    <row r="58" ht="12.75" hidden="1">
      <c r="B58" s="1">
        <v>28</v>
      </c>
    </row>
    <row r="59" ht="12.75" hidden="1">
      <c r="B59" s="1">
        <v>29</v>
      </c>
    </row>
    <row r="60" ht="12.75" hidden="1">
      <c r="B60" s="1">
        <v>30</v>
      </c>
    </row>
    <row r="61" ht="12.75" hidden="1">
      <c r="B61" s="1">
        <v>31</v>
      </c>
    </row>
  </sheetData>
  <sheetProtection sheet="1" objects="1" scenarios="1" selectLockedCells="1"/>
  <mergeCells count="11">
    <mergeCell ref="H6:K6"/>
    <mergeCell ref="M4:V4"/>
    <mergeCell ref="W1:W2"/>
    <mergeCell ref="A8:A9"/>
    <mergeCell ref="B8:B9"/>
    <mergeCell ref="C8:C9"/>
    <mergeCell ref="M1:M2"/>
    <mergeCell ref="N1:O1"/>
    <mergeCell ref="I2:K2"/>
    <mergeCell ref="I3:K3"/>
    <mergeCell ref="A6:G6"/>
  </mergeCells>
  <dataValidations count="1">
    <dataValidation type="list" allowBlank="1" showInputMessage="1" showErrorMessage="1" sqref="F11:F25">
      <formula1>List_Transport</formula1>
    </dataValidation>
  </dataValidations>
  <printOptions/>
  <pageMargins left="0.2" right="0.2" top="0.26" bottom="0.3" header="0.22" footer="0.31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showRowColHeaders="0" zoomScalePageLayoutView="0" workbookViewId="0" topLeftCell="A1">
      <selection activeCell="F11" sqref="F11"/>
    </sheetView>
  </sheetViews>
  <sheetFormatPr defaultColWidth="0" defaultRowHeight="0" customHeight="1" zeroHeight="1"/>
  <cols>
    <col min="1" max="1" width="6.57421875" style="19" bestFit="1" customWidth="1"/>
    <col min="2" max="2" width="18.57421875" style="1" customWidth="1"/>
    <col min="3" max="3" width="13.421875" style="1" customWidth="1"/>
    <col min="4" max="4" width="11.57421875" style="1" bestFit="1" customWidth="1"/>
    <col min="5" max="5" width="11.8515625" style="1" bestFit="1" customWidth="1"/>
    <col min="6" max="6" width="8.57421875" style="1" bestFit="1" customWidth="1"/>
    <col min="7" max="8" width="9.57421875" style="1" customWidth="1"/>
    <col min="9" max="9" width="12.8515625" style="1" bestFit="1" customWidth="1"/>
    <col min="10" max="10" width="9.57421875" style="1" customWidth="1"/>
    <col min="11" max="11" width="21.8515625" style="1" customWidth="1"/>
    <col min="12" max="12" width="10.140625" style="1" bestFit="1" customWidth="1"/>
    <col min="13" max="13" width="11.8515625" style="1" bestFit="1" customWidth="1"/>
    <col min="14" max="14" width="13.57421875" style="1" customWidth="1"/>
    <col min="15" max="15" width="11.421875" style="1" bestFit="1" customWidth="1"/>
    <col min="16" max="16" width="11.57421875" style="64" customWidth="1"/>
    <col min="17" max="18" width="11.57421875" style="64" hidden="1" customWidth="1"/>
    <col min="19" max="19" width="5.140625" style="1" hidden="1" customWidth="1"/>
    <col min="20" max="20" width="10.57421875" style="1" hidden="1" customWidth="1"/>
    <col min="21" max="24" width="11.421875" style="1" hidden="1" customWidth="1"/>
    <col min="25" max="25" width="1.57421875" style="1" customWidth="1"/>
    <col min="26" max="246" width="11.421875" style="1" hidden="1" customWidth="1"/>
    <col min="247" max="16384" width="0" style="1" hidden="1" customWidth="1"/>
  </cols>
  <sheetData>
    <row r="1" spans="1:19" ht="18" customHeight="1">
      <c r="A1" s="20"/>
      <c r="B1" s="21" t="str">
        <f>'0 Information'!J2</f>
        <v>15th Euro Mini Champ's</v>
      </c>
      <c r="C1" s="20"/>
      <c r="D1" s="20"/>
      <c r="E1" s="20"/>
      <c r="F1" s="20"/>
      <c r="G1" s="22"/>
      <c r="H1" s="23"/>
      <c r="I1" s="24"/>
      <c r="J1" s="24"/>
      <c r="K1" s="24"/>
      <c r="L1" s="24"/>
      <c r="M1" s="24"/>
      <c r="N1" s="23"/>
      <c r="O1" s="25"/>
      <c r="P1" s="169" t="s">
        <v>112</v>
      </c>
      <c r="Q1" s="170"/>
      <c r="R1" s="170"/>
      <c r="S1" s="22"/>
    </row>
    <row r="2" spans="1:19" ht="18" customHeight="1">
      <c r="A2" s="20"/>
      <c r="B2" s="21" t="str">
        <f>'0 Information'!J3</f>
        <v>SCHILTIGHEIM 23-25/08/2019</v>
      </c>
      <c r="C2" s="24"/>
      <c r="D2" s="24"/>
      <c r="E2" s="24"/>
      <c r="F2" s="24"/>
      <c r="G2" s="22"/>
      <c r="H2" s="23"/>
      <c r="I2" s="171" t="str">
        <f>"Deadline Accommodation : "&amp;TEXT(Informations!$B$8,"jj/mm/aaaa")</f>
        <v>Deadline Accommodation : 08/06/2019</v>
      </c>
      <c r="J2" s="172"/>
      <c r="K2" s="173"/>
      <c r="L2" s="24"/>
      <c r="M2" s="24"/>
      <c r="N2" s="23"/>
      <c r="O2" s="27"/>
      <c r="P2" s="169"/>
      <c r="Q2" s="28">
        <v>35</v>
      </c>
      <c r="R2" s="26"/>
      <c r="S2" s="22"/>
    </row>
    <row r="3" spans="1:19" ht="18" customHeight="1">
      <c r="A3" s="24"/>
      <c r="B3" s="21" t="str">
        <f>IF('0 Information'!J4="","",'0 Information'!J4)</f>
        <v>http://www.eurominichamps.com</v>
      </c>
      <c r="C3" s="24"/>
      <c r="D3" s="24"/>
      <c r="E3" s="24"/>
      <c r="F3" s="24"/>
      <c r="G3" s="22"/>
      <c r="H3" s="23"/>
      <c r="I3" s="174" t="str">
        <f>"Deadline Travel Details:  "&amp;TEXT(Informations!$B$9,"jj/mm/aaaa")</f>
        <v>Deadline Travel Details:  05/07/2019</v>
      </c>
      <c r="J3" s="175"/>
      <c r="K3" s="176"/>
      <c r="L3" s="24"/>
      <c r="M3" s="24"/>
      <c r="N3" s="23"/>
      <c r="O3" s="23"/>
      <c r="P3" s="29" t="s">
        <v>126</v>
      </c>
      <c r="Q3" s="28"/>
      <c r="R3" s="29"/>
      <c r="S3" s="22"/>
    </row>
    <row r="4" spans="1:19" ht="15.75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8"/>
      <c r="R4" s="22"/>
      <c r="S4" s="22"/>
    </row>
    <row r="5" spans="1:19" ht="6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1"/>
      <c r="Q5" s="21"/>
      <c r="R5" s="31"/>
      <c r="S5" s="22"/>
    </row>
    <row r="6" spans="1:19" ht="19.5" customHeight="1">
      <c r="A6" s="177" t="s">
        <v>9</v>
      </c>
      <c r="B6" s="177"/>
      <c r="C6" s="177"/>
      <c r="D6" s="177"/>
      <c r="E6" s="177"/>
      <c r="F6" s="177"/>
      <c r="G6" s="178"/>
      <c r="H6" s="189">
        <f>IF(Accommodation!$H$6="","",Accommodation!$H$6)</f>
      </c>
      <c r="I6" s="189"/>
      <c r="J6" s="189"/>
      <c r="K6" s="190"/>
      <c r="L6" s="23"/>
      <c r="M6" s="181"/>
      <c r="N6" s="181"/>
      <c r="O6" s="32"/>
      <c r="P6" s="31"/>
      <c r="Q6" s="21"/>
      <c r="R6" s="31"/>
      <c r="S6" s="22"/>
    </row>
    <row r="7" spans="1:19" ht="6" customHeight="1">
      <c r="A7" s="3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1"/>
      <c r="Q7" s="31"/>
      <c r="R7" s="31"/>
      <c r="S7" s="22"/>
    </row>
    <row r="8" spans="1:19" ht="12.75" customHeight="1">
      <c r="A8" s="158" t="s">
        <v>10</v>
      </c>
      <c r="B8" s="163" t="s">
        <v>16</v>
      </c>
      <c r="C8" s="165" t="s">
        <v>48</v>
      </c>
      <c r="D8" s="34" t="s">
        <v>49</v>
      </c>
      <c r="E8" s="34" t="s">
        <v>51</v>
      </c>
      <c r="F8" s="34" t="s">
        <v>56</v>
      </c>
      <c r="G8" s="65" t="s">
        <v>58</v>
      </c>
      <c r="H8" s="65" t="s">
        <v>59</v>
      </c>
      <c r="I8" s="35" t="s">
        <v>114</v>
      </c>
      <c r="J8" s="66" t="s">
        <v>60</v>
      </c>
      <c r="K8" s="66" t="s">
        <v>98</v>
      </c>
      <c r="L8" s="167" t="s">
        <v>61</v>
      </c>
      <c r="M8" s="66" t="s">
        <v>14</v>
      </c>
      <c r="N8" s="66" t="s">
        <v>62</v>
      </c>
      <c r="O8" s="66" t="s">
        <v>63</v>
      </c>
      <c r="P8" s="66" t="s">
        <v>15</v>
      </c>
      <c r="Q8" s="36"/>
      <c r="R8" s="36"/>
      <c r="S8" s="22"/>
    </row>
    <row r="9" spans="1:24" ht="12.75">
      <c r="A9" s="159"/>
      <c r="B9" s="164"/>
      <c r="C9" s="166"/>
      <c r="D9" s="67" t="s">
        <v>67</v>
      </c>
      <c r="E9" s="37" t="s">
        <v>109</v>
      </c>
      <c r="F9" s="67" t="s">
        <v>57</v>
      </c>
      <c r="G9" s="67" t="s">
        <v>50</v>
      </c>
      <c r="H9" s="67" t="s">
        <v>50</v>
      </c>
      <c r="I9" s="67" t="s">
        <v>57</v>
      </c>
      <c r="J9" s="67" t="s">
        <v>57</v>
      </c>
      <c r="K9" s="67" t="s">
        <v>64</v>
      </c>
      <c r="L9" s="168"/>
      <c r="M9" s="101" t="s">
        <v>65</v>
      </c>
      <c r="N9" s="102" t="s">
        <v>66</v>
      </c>
      <c r="O9" s="102" t="s">
        <v>66</v>
      </c>
      <c r="P9" s="101" t="s">
        <v>65</v>
      </c>
      <c r="Q9" s="33"/>
      <c r="R9" s="33"/>
      <c r="S9" s="22"/>
      <c r="U9" s="38" t="s">
        <v>19</v>
      </c>
      <c r="V9" s="38" t="s">
        <v>20</v>
      </c>
      <c r="W9" s="38" t="s">
        <v>17</v>
      </c>
      <c r="X9" s="38" t="s">
        <v>18</v>
      </c>
    </row>
    <row r="10" spans="1:24" ht="13.5" customHeight="1">
      <c r="A10" s="103" t="s">
        <v>53</v>
      </c>
      <c r="B10" s="104" t="s">
        <v>54</v>
      </c>
      <c r="C10" s="104" t="s">
        <v>55</v>
      </c>
      <c r="D10" s="105"/>
      <c r="E10" s="106" t="s">
        <v>42</v>
      </c>
      <c r="F10" s="106" t="s">
        <v>40</v>
      </c>
      <c r="G10" s="105">
        <v>43339</v>
      </c>
      <c r="H10" s="105">
        <v>43342</v>
      </c>
      <c r="I10" s="106" t="s">
        <v>115</v>
      </c>
      <c r="J10" s="106" t="s">
        <v>75</v>
      </c>
      <c r="K10" s="104" t="s">
        <v>97</v>
      </c>
      <c r="L10" s="106">
        <f>IF(G10="","",(H10-G10))</f>
        <v>3</v>
      </c>
      <c r="M10" s="108"/>
      <c r="N10" s="106"/>
      <c r="O10" s="106"/>
      <c r="P10" s="107"/>
      <c r="Q10" s="38" t="s">
        <v>17</v>
      </c>
      <c r="R10" s="38" t="s">
        <v>18</v>
      </c>
      <c r="S10" s="22"/>
      <c r="T10" s="39" t="s">
        <v>21</v>
      </c>
      <c r="U10" s="40">
        <f>PACK1+(3*_EN1)</f>
        <v>240</v>
      </c>
      <c r="V10" s="40">
        <f>2*_EN1</f>
        <v>40</v>
      </c>
      <c r="W10" s="40">
        <f>_EM1</f>
        <v>13</v>
      </c>
      <c r="X10" s="40">
        <f>2*_EN1</f>
        <v>40</v>
      </c>
    </row>
    <row r="11" spans="1:24" ht="19.5" customHeight="1">
      <c r="A11" s="41">
        <v>1</v>
      </c>
      <c r="B11" s="42"/>
      <c r="C11" s="42"/>
      <c r="D11" s="68"/>
      <c r="E11" s="43"/>
      <c r="F11" s="43"/>
      <c r="G11" s="68"/>
      <c r="H11" s="68"/>
      <c r="I11" s="43"/>
      <c r="J11" s="43"/>
      <c r="K11" s="42"/>
      <c r="L11" s="109">
        <f>IF(G11="","",(H11-G11))</f>
      </c>
      <c r="M11" s="112">
        <f>IF(B11="","",IF(I11="Badge Only",200,IF(I11="","Choice option",IF(J11="","Choice Room",VLOOKUP(I11&amp;" "&amp;J11,Informations!$S$2:$V$8,2,FALSE)))))</f>
      </c>
      <c r="N11" s="109">
        <f>IF(L11="","",IF(L11&gt;3,L11-3,0))</f>
      </c>
      <c r="O11" s="127"/>
      <c r="P11" s="44">
        <f>IF(M11="","",IF(I11="Badge Only",200,IF(OR((M11="Choice Room"),(M11="Choice option")),"",M11+(N11*(VLOOKUP(I11&amp;" "&amp;J11,Informations!$S$2:$V$8,3,FALSE)))+(O11*(VLOOKUP(I11&amp;" "&amp;J11,Informations!$S$2:$V$8,4,FALSE))))))</f>
      </c>
      <c r="Q11" s="45">
        <f>IF(N11="",0,(VLOOKUP(L11,$T$10:$X$16,4,FALSE)))</f>
        <v>0</v>
      </c>
      <c r="R11" s="45">
        <f>IF(O11="",0,(VLOOKUP(L11,$T$10:$X$16,5,FALSE)))</f>
        <v>0</v>
      </c>
      <c r="S11" s="22"/>
      <c r="T11" s="39" t="s">
        <v>22</v>
      </c>
      <c r="U11" s="40">
        <f>PACK1</f>
        <v>180</v>
      </c>
      <c r="V11" s="40"/>
      <c r="W11" s="40">
        <f>_EM1</f>
        <v>13</v>
      </c>
      <c r="X11" s="40">
        <f>_EN1</f>
        <v>20</v>
      </c>
    </row>
    <row r="12" spans="1:24" ht="19.5" customHeight="1">
      <c r="A12" s="46">
        <v>2</v>
      </c>
      <c r="B12" s="42"/>
      <c r="C12" s="42"/>
      <c r="D12" s="68"/>
      <c r="E12" s="43"/>
      <c r="F12" s="43"/>
      <c r="G12" s="68"/>
      <c r="H12" s="68"/>
      <c r="I12" s="43"/>
      <c r="J12" s="43"/>
      <c r="K12" s="42"/>
      <c r="L12" s="109">
        <f aca="true" t="shared" si="0" ref="L12:L25">IF(G12="","",(H12-G12))</f>
      </c>
      <c r="M12" s="112">
        <f>IF(B12="","",IF(I12="Badge Only",200,IF(I12="","Choice option",IF(J12="","Choice Room",VLOOKUP(I12&amp;" "&amp;J12,Informations!$S$2:$V$8,2,FALSE)))))</f>
      </c>
      <c r="N12" s="109">
        <f aca="true" t="shared" si="1" ref="N12:N25">IF(L12="","",IF(L12&gt;3,L12-3,0))</f>
      </c>
      <c r="O12" s="127"/>
      <c r="P12" s="44">
        <f>IF(M12="","",IF(I12="Badge Only",200,IF(OR((M12="Choice Room"),(M12="Choice option")),"",M12+(N12*(VLOOKUP(I12&amp;" "&amp;J12,Informations!$S$2:$V$8,3,FALSE)))+(O12*(VLOOKUP(I12&amp;" "&amp;J12,Informations!$S$2:$V$8,4,FALSE))))))</f>
      </c>
      <c r="Q12" s="45">
        <f aca="true" t="shared" si="2" ref="Q12:Q25">IF(N12="",0,(VLOOKUP(L12,$T$10:$X$16,4,FALSE)))</f>
        <v>0</v>
      </c>
      <c r="R12" s="45">
        <f aca="true" t="shared" si="3" ref="R12:R25">IF(O12="",0,(VLOOKUP(L12,$T$10:$X$16,5,FALSE)))</f>
        <v>0</v>
      </c>
      <c r="S12" s="22"/>
      <c r="T12" s="39" t="s">
        <v>23</v>
      </c>
      <c r="U12" s="40">
        <f>PACK1-_EN1</f>
        <v>160</v>
      </c>
      <c r="V12" s="40"/>
      <c r="W12" s="40">
        <f>_EM1</f>
        <v>13</v>
      </c>
      <c r="X12" s="40">
        <f>_EN1</f>
        <v>20</v>
      </c>
    </row>
    <row r="13" spans="1:24" ht="19.5" customHeight="1">
      <c r="A13" s="46">
        <v>3</v>
      </c>
      <c r="B13" s="42"/>
      <c r="C13" s="42"/>
      <c r="D13" s="68"/>
      <c r="E13" s="43"/>
      <c r="F13" s="43"/>
      <c r="G13" s="68"/>
      <c r="H13" s="68"/>
      <c r="I13" s="43"/>
      <c r="J13" s="43"/>
      <c r="K13" s="42"/>
      <c r="L13" s="109">
        <f t="shared" si="0"/>
      </c>
      <c r="M13" s="112">
        <f>IF(B13="","",IF(I13="Badge Only",200,IF(I13="","Choice option",IF(J13="","Choice Room",VLOOKUP(I13&amp;" "&amp;J13,Informations!$S$2:$V$8,2,FALSE)))))</f>
      </c>
      <c r="N13" s="109">
        <f t="shared" si="1"/>
      </c>
      <c r="O13" s="127"/>
      <c r="P13" s="44">
        <f>IF(M13="","",IF(I13="Badge Only",200,IF(OR((M13="Choice Room"),(M13="Choice option")),"",M13+(N13*(VLOOKUP(I13&amp;" "&amp;J13,Informations!$S$2:$V$8,3,FALSE)))+(O13*(VLOOKUP(I13&amp;" "&amp;J13,Informations!$S$2:$V$8,4,FALSE))))))</f>
      </c>
      <c r="Q13" s="45">
        <f t="shared" si="2"/>
        <v>0</v>
      </c>
      <c r="R13" s="45">
        <f t="shared" si="3"/>
        <v>0</v>
      </c>
      <c r="S13" s="22"/>
      <c r="T13" s="39" t="s">
        <v>24</v>
      </c>
      <c r="U13" s="40">
        <f>PACK2+(3*_EN2)</f>
        <v>265</v>
      </c>
      <c r="V13" s="40">
        <f>2*_EN2</f>
        <v>50</v>
      </c>
      <c r="W13" s="40">
        <f>_EM2</f>
        <v>13</v>
      </c>
      <c r="X13" s="40">
        <f>2*_EN2</f>
        <v>50</v>
      </c>
    </row>
    <row r="14" spans="1:24" ht="19.5" customHeight="1">
      <c r="A14" s="46">
        <v>4</v>
      </c>
      <c r="B14" s="42"/>
      <c r="C14" s="42"/>
      <c r="D14" s="68"/>
      <c r="E14" s="43"/>
      <c r="F14" s="43"/>
      <c r="G14" s="68"/>
      <c r="H14" s="68"/>
      <c r="I14" s="43"/>
      <c r="J14" s="43"/>
      <c r="K14" s="42"/>
      <c r="L14" s="109">
        <f t="shared" si="0"/>
      </c>
      <c r="M14" s="112">
        <f>IF(B14="","",IF(I14="Badge Only",200,IF(I14="","Choice option",IF(J14="","Choice Room",VLOOKUP(I14&amp;" "&amp;J14,Informations!$S$2:$V$8,2,FALSE)))))</f>
      </c>
      <c r="N14" s="109">
        <f t="shared" si="1"/>
      </c>
      <c r="O14" s="127"/>
      <c r="P14" s="44">
        <f>IF(M14="","",IF(I14="Badge Only",200,IF(OR((M14="Choice Room"),(M14="Choice option")),"",M14+(N14*(VLOOKUP(I14&amp;" "&amp;J14,Informations!$S$2:$V$8,3,FALSE)))+(O14*(VLOOKUP(I14&amp;" "&amp;J14,Informations!$S$2:$V$8,4,FALSE))))))</f>
      </c>
      <c r="Q14" s="45">
        <f t="shared" si="2"/>
        <v>0</v>
      </c>
      <c r="R14" s="45">
        <f t="shared" si="3"/>
        <v>0</v>
      </c>
      <c r="S14" s="22"/>
      <c r="T14" s="39" t="s">
        <v>25</v>
      </c>
      <c r="U14" s="40">
        <f>PACK2</f>
        <v>190</v>
      </c>
      <c r="V14" s="40"/>
      <c r="W14" s="40">
        <f>_EM2</f>
        <v>13</v>
      </c>
      <c r="X14" s="40">
        <f>_EN2</f>
        <v>25</v>
      </c>
    </row>
    <row r="15" spans="1:24" ht="19.5" customHeight="1">
      <c r="A15" s="46">
        <v>5</v>
      </c>
      <c r="B15" s="42"/>
      <c r="C15" s="42"/>
      <c r="D15" s="68"/>
      <c r="E15" s="43"/>
      <c r="F15" s="43"/>
      <c r="G15" s="68"/>
      <c r="H15" s="68"/>
      <c r="I15" s="43"/>
      <c r="J15" s="43"/>
      <c r="K15" s="42"/>
      <c r="L15" s="109">
        <f t="shared" si="0"/>
      </c>
      <c r="M15" s="112">
        <f>IF(B15="","",IF(I15="Badge Only",200,IF(I15="","Choice option",IF(J15="","Choice Room",VLOOKUP(I15&amp;" "&amp;J15,Informations!$S$2:$V$8,2,FALSE)))))</f>
      </c>
      <c r="N15" s="109">
        <f t="shared" si="1"/>
      </c>
      <c r="O15" s="127"/>
      <c r="P15" s="44">
        <f>IF(M15="","",IF(I15="Badge Only",200,IF(OR((M15="Choice Room"),(M15="Choice option")),"",M15+(N15*(VLOOKUP(I15&amp;" "&amp;J15,Informations!$S$2:$V$8,3,FALSE)))+(O15*(VLOOKUP(I15&amp;" "&amp;J15,Informations!$S$2:$V$8,4,FALSE))))))</f>
      </c>
      <c r="Q15" s="45">
        <f t="shared" si="2"/>
        <v>0</v>
      </c>
      <c r="R15" s="45">
        <f t="shared" si="3"/>
        <v>0</v>
      </c>
      <c r="S15" s="22"/>
      <c r="T15" s="39" t="s">
        <v>26</v>
      </c>
      <c r="U15" s="40">
        <f>PACKFULL+(3*_ENFULL)</f>
        <v>315</v>
      </c>
      <c r="V15" s="40">
        <f>2*_ENFULL</f>
        <v>70</v>
      </c>
      <c r="W15" s="40">
        <f>_EMFULL</f>
        <v>13</v>
      </c>
      <c r="X15" s="40">
        <f>2*_ENFULL</f>
        <v>70</v>
      </c>
    </row>
    <row r="16" spans="1:24" ht="19.5" customHeight="1">
      <c r="A16" s="46">
        <v>6</v>
      </c>
      <c r="B16" s="42"/>
      <c r="C16" s="42"/>
      <c r="D16" s="68"/>
      <c r="E16" s="43"/>
      <c r="F16" s="43"/>
      <c r="G16" s="68"/>
      <c r="H16" s="68"/>
      <c r="I16" s="43"/>
      <c r="J16" s="43"/>
      <c r="K16" s="42"/>
      <c r="L16" s="109">
        <f t="shared" si="0"/>
      </c>
      <c r="M16" s="112">
        <f>IF(B16="","",IF(I16="Badge Only",200,IF(I16="","Choice option",IF(J16="","Choice Room",VLOOKUP(I16&amp;" "&amp;J16,Informations!$S$2:$V$8,2,FALSE)))))</f>
      </c>
      <c r="N16" s="109">
        <f t="shared" si="1"/>
      </c>
      <c r="O16" s="127"/>
      <c r="P16" s="44">
        <f>IF(M16="","",IF(I16="Badge Only",200,IF(OR((M16="Choice Room"),(M16="Choice option")),"",M16+(N16*(VLOOKUP(I16&amp;" "&amp;J16,Informations!$S$2:$V$8,3,FALSE)))+(O16*(VLOOKUP(I16&amp;" "&amp;J16,Informations!$S$2:$V$8,4,FALSE))))))</f>
      </c>
      <c r="Q16" s="45">
        <f t="shared" si="2"/>
        <v>0</v>
      </c>
      <c r="R16" s="45">
        <f t="shared" si="3"/>
        <v>0</v>
      </c>
      <c r="S16" s="22"/>
      <c r="T16" s="39" t="s">
        <v>27</v>
      </c>
      <c r="U16" s="40">
        <f>PACKFULL</f>
        <v>210</v>
      </c>
      <c r="V16" s="40"/>
      <c r="W16" s="40">
        <f>_EMFULL</f>
        <v>13</v>
      </c>
      <c r="X16" s="40">
        <f>_ENFULL</f>
        <v>35</v>
      </c>
    </row>
    <row r="17" spans="1:19" ht="19.5" customHeight="1">
      <c r="A17" s="46">
        <v>7</v>
      </c>
      <c r="B17" s="42"/>
      <c r="C17" s="42"/>
      <c r="D17" s="68"/>
      <c r="E17" s="43"/>
      <c r="F17" s="43"/>
      <c r="G17" s="68"/>
      <c r="H17" s="68"/>
      <c r="I17" s="43"/>
      <c r="J17" s="43"/>
      <c r="K17" s="42"/>
      <c r="L17" s="109">
        <f t="shared" si="0"/>
      </c>
      <c r="M17" s="112">
        <f>IF(B17="","",IF(I17="Badge Only",200,IF(I17="","Choice option",IF(J17="","Choice Room",VLOOKUP(I17&amp;" "&amp;J17,Informations!$S$2:$V$8,2,FALSE)))))</f>
      </c>
      <c r="N17" s="109">
        <f t="shared" si="1"/>
      </c>
      <c r="O17" s="127"/>
      <c r="P17" s="44">
        <f>IF(M17="","",IF(I17="Badge Only",200,IF(OR((M17="Choice Room"),(M17="Choice option")),"",M17+(N17*(VLOOKUP(I17&amp;" "&amp;J17,Informations!$S$2:$V$8,3,FALSE)))+(O17*(VLOOKUP(I17&amp;" "&amp;J17,Informations!$S$2:$V$8,4,FALSE))))))</f>
      </c>
      <c r="Q17" s="45">
        <f t="shared" si="2"/>
        <v>0</v>
      </c>
      <c r="R17" s="45">
        <f t="shared" si="3"/>
        <v>0</v>
      </c>
      <c r="S17" s="22"/>
    </row>
    <row r="18" spans="1:21" ht="19.5" customHeight="1">
      <c r="A18" s="46">
        <v>8</v>
      </c>
      <c r="B18" s="42"/>
      <c r="C18" s="42"/>
      <c r="D18" s="68"/>
      <c r="E18" s="43"/>
      <c r="F18" s="43"/>
      <c r="G18" s="68"/>
      <c r="H18" s="68"/>
      <c r="I18" s="43"/>
      <c r="J18" s="43"/>
      <c r="K18" s="42"/>
      <c r="L18" s="109">
        <f t="shared" si="0"/>
      </c>
      <c r="M18" s="112">
        <f>IF(B18="","",IF(I18="Badge Only",200,IF(I18="","Choice option",IF(J18="","Choice Room",VLOOKUP(I18&amp;" "&amp;J18,Informations!$S$2:$V$8,2,FALSE)))))</f>
      </c>
      <c r="N18" s="109">
        <f t="shared" si="1"/>
      </c>
      <c r="O18" s="127"/>
      <c r="P18" s="44">
        <f>IF(M18="","",IF(I18="Badge Only",200,IF(OR((M18="Choice Room"),(M18="Choice option")),"",M18+(N18*(VLOOKUP(I18&amp;" "&amp;J18,Informations!$S$2:$V$8,3,FALSE)))+(O18*(VLOOKUP(I18&amp;" "&amp;J18,Informations!$S$2:$V$8,4,FALSE))))))</f>
      </c>
      <c r="Q18" s="45">
        <f t="shared" si="2"/>
        <v>0</v>
      </c>
      <c r="R18" s="45">
        <f t="shared" si="3"/>
        <v>0</v>
      </c>
      <c r="S18" s="22"/>
      <c r="T18" s="48" t="s">
        <v>28</v>
      </c>
      <c r="U18" s="40">
        <v>180</v>
      </c>
    </row>
    <row r="19" spans="1:21" ht="19.5" customHeight="1">
      <c r="A19" s="46">
        <v>9</v>
      </c>
      <c r="B19" s="42"/>
      <c r="C19" s="42"/>
      <c r="D19" s="68"/>
      <c r="E19" s="43"/>
      <c r="F19" s="43"/>
      <c r="G19" s="68"/>
      <c r="H19" s="68"/>
      <c r="I19" s="43"/>
      <c r="J19" s="43"/>
      <c r="K19" s="42"/>
      <c r="L19" s="109">
        <f t="shared" si="0"/>
      </c>
      <c r="M19" s="112">
        <f>IF(B19="","",IF(I19="Badge Only",200,IF(I19="","Choice option",IF(J19="","Choice Room",VLOOKUP(I19&amp;" "&amp;J19,Informations!$S$2:$V$8,2,FALSE)))))</f>
      </c>
      <c r="N19" s="109">
        <f t="shared" si="1"/>
      </c>
      <c r="O19" s="127"/>
      <c r="P19" s="44">
        <f>IF(M19="","",IF(I19="Badge Only",200,IF(OR((M19="Choice Room"),(M19="Choice option")),"",M19+(N19*(VLOOKUP(I19&amp;" "&amp;J19,Informations!$S$2:$V$8,3,FALSE)))+(O19*(VLOOKUP(I19&amp;" "&amp;J19,Informations!$S$2:$V$8,4,FALSE))))))</f>
      </c>
      <c r="Q19" s="45">
        <f t="shared" si="2"/>
        <v>0</v>
      </c>
      <c r="R19" s="45">
        <f t="shared" si="3"/>
        <v>0</v>
      </c>
      <c r="S19" s="22"/>
      <c r="T19" s="48" t="s">
        <v>29</v>
      </c>
      <c r="U19" s="40">
        <v>190</v>
      </c>
    </row>
    <row r="20" spans="1:21" ht="19.5" customHeight="1">
      <c r="A20" s="46">
        <v>10</v>
      </c>
      <c r="B20" s="42"/>
      <c r="C20" s="42"/>
      <c r="D20" s="68"/>
      <c r="E20" s="43"/>
      <c r="F20" s="43"/>
      <c r="G20" s="68"/>
      <c r="H20" s="68"/>
      <c r="I20" s="43"/>
      <c r="J20" s="43"/>
      <c r="K20" s="42"/>
      <c r="L20" s="109">
        <f t="shared" si="0"/>
      </c>
      <c r="M20" s="112">
        <f>IF(B20="","",IF(I20="Badge Only",200,IF(I20="","Choice option",IF(J20="","Choice Room",VLOOKUP(I20&amp;" "&amp;J20,Informations!$S$2:$V$8,2,FALSE)))))</f>
      </c>
      <c r="N20" s="109">
        <f t="shared" si="1"/>
      </c>
      <c r="O20" s="127"/>
      <c r="P20" s="44">
        <f>IF(M20="","",IF(I20="Badge Only",200,IF(OR((M20="Choice Room"),(M20="Choice option")),"",M20+(N20*(VLOOKUP(I20&amp;" "&amp;J20,Informations!$S$2:$V$8,3,FALSE)))+(O20*(VLOOKUP(I20&amp;" "&amp;J20,Informations!$S$2:$V$8,4,FALSE))))))</f>
      </c>
      <c r="Q20" s="45">
        <f t="shared" si="2"/>
        <v>0</v>
      </c>
      <c r="R20" s="45">
        <f t="shared" si="3"/>
        <v>0</v>
      </c>
      <c r="S20" s="22"/>
      <c r="T20" s="48" t="s">
        <v>30</v>
      </c>
      <c r="U20" s="40">
        <v>210</v>
      </c>
    </row>
    <row r="21" spans="1:21" ht="19.5" customHeight="1">
      <c r="A21" s="46">
        <v>11</v>
      </c>
      <c r="B21" s="42"/>
      <c r="C21" s="42"/>
      <c r="D21" s="68"/>
      <c r="E21" s="43"/>
      <c r="F21" s="43"/>
      <c r="G21" s="68"/>
      <c r="H21" s="68"/>
      <c r="I21" s="43"/>
      <c r="J21" s="43"/>
      <c r="K21" s="42"/>
      <c r="L21" s="109">
        <f t="shared" si="0"/>
      </c>
      <c r="M21" s="112">
        <f>IF(B21="","",IF(I21="Badge Only",200,IF(I21="","Choice option",IF(J21="","Choice Room",VLOOKUP(I21&amp;" "&amp;J21,Informations!$S$2:$V$8,2,FALSE)))))</f>
      </c>
      <c r="N21" s="109">
        <f t="shared" si="1"/>
      </c>
      <c r="O21" s="127"/>
      <c r="P21" s="44">
        <f>IF(M21="","",IF(I21="Badge Only",200,IF(OR((M21="Choice Room"),(M21="Choice option")),"",M21+(N21*(VLOOKUP(I21&amp;" "&amp;J21,Informations!$S$2:$V$8,3,FALSE)))+(O21*(VLOOKUP(I21&amp;" "&amp;J21,Informations!$S$2:$V$8,4,FALSE))))))</f>
      </c>
      <c r="Q21" s="45">
        <f t="shared" si="2"/>
        <v>0</v>
      </c>
      <c r="R21" s="45">
        <f t="shared" si="3"/>
        <v>0</v>
      </c>
      <c r="S21" s="22"/>
      <c r="T21" s="48" t="s">
        <v>31</v>
      </c>
      <c r="U21" s="40">
        <v>13</v>
      </c>
    </row>
    <row r="22" spans="1:21" ht="19.5" customHeight="1">
      <c r="A22" s="46">
        <v>12</v>
      </c>
      <c r="B22" s="42"/>
      <c r="C22" s="42"/>
      <c r="D22" s="68"/>
      <c r="E22" s="43"/>
      <c r="F22" s="43"/>
      <c r="G22" s="68"/>
      <c r="H22" s="68"/>
      <c r="I22" s="43"/>
      <c r="J22" s="43"/>
      <c r="K22" s="42"/>
      <c r="L22" s="109">
        <f t="shared" si="0"/>
      </c>
      <c r="M22" s="112">
        <f>IF(B22="","",IF(I22="Badge Only",200,IF(I22="","Choice option",IF(J22="","Choice Room",VLOOKUP(I22&amp;" "&amp;J22,Informations!$S$2:$V$8,2,FALSE)))))</f>
      </c>
      <c r="N22" s="109">
        <f t="shared" si="1"/>
      </c>
      <c r="O22" s="127"/>
      <c r="P22" s="44">
        <f>IF(M22="","",IF(I22="Badge Only",200,IF(OR((M22="Choice Room"),(M22="Choice option")),"",M22+(N22*(VLOOKUP(I22&amp;" "&amp;J22,Informations!$S$2:$V$8,3,FALSE)))+(O22*(VLOOKUP(I22&amp;" "&amp;J22,Informations!$S$2:$V$8,4,FALSE))))))</f>
      </c>
      <c r="Q22" s="45">
        <f t="shared" si="2"/>
        <v>0</v>
      </c>
      <c r="R22" s="45">
        <f t="shared" si="3"/>
        <v>0</v>
      </c>
      <c r="S22" s="22"/>
      <c r="T22" s="48" t="s">
        <v>32</v>
      </c>
      <c r="U22" s="40">
        <v>13</v>
      </c>
    </row>
    <row r="23" spans="1:21" ht="19.5" customHeight="1">
      <c r="A23" s="46">
        <v>13</v>
      </c>
      <c r="B23" s="42"/>
      <c r="C23" s="42"/>
      <c r="D23" s="68"/>
      <c r="E23" s="43"/>
      <c r="F23" s="43"/>
      <c r="G23" s="68"/>
      <c r="H23" s="68"/>
      <c r="I23" s="43"/>
      <c r="J23" s="43"/>
      <c r="K23" s="42"/>
      <c r="L23" s="109">
        <f t="shared" si="0"/>
      </c>
      <c r="M23" s="112">
        <f>IF(B23="","",IF(I23="Badge Only",200,IF(I23="","Choice option",IF(J23="","Choice Room",VLOOKUP(I23&amp;" "&amp;J23,Informations!$S$2:$V$8,2,FALSE)))))</f>
      </c>
      <c r="N23" s="109">
        <f t="shared" si="1"/>
      </c>
      <c r="O23" s="127"/>
      <c r="P23" s="44">
        <f>IF(M23="","",IF(I23="Badge Only",200,IF(OR((M23="Choice Room"),(M23="Choice option")),"",M23+(N23*(VLOOKUP(I23&amp;" "&amp;J23,Informations!$S$2:$V$8,3,FALSE)))+(O23*(VLOOKUP(I23&amp;" "&amp;J23,Informations!$S$2:$V$8,4,FALSE))))))</f>
      </c>
      <c r="Q23" s="45">
        <f t="shared" si="2"/>
        <v>0</v>
      </c>
      <c r="R23" s="45">
        <f t="shared" si="3"/>
        <v>0</v>
      </c>
      <c r="S23" s="22"/>
      <c r="T23" s="48" t="s">
        <v>33</v>
      </c>
      <c r="U23" s="40">
        <v>13</v>
      </c>
    </row>
    <row r="24" spans="1:21" ht="19.5" customHeight="1">
      <c r="A24" s="46">
        <v>14</v>
      </c>
      <c r="B24" s="42"/>
      <c r="C24" s="42"/>
      <c r="D24" s="68"/>
      <c r="E24" s="43"/>
      <c r="F24" s="43"/>
      <c r="G24" s="68"/>
      <c r="H24" s="68"/>
      <c r="I24" s="43"/>
      <c r="J24" s="43"/>
      <c r="K24" s="42"/>
      <c r="L24" s="109">
        <f t="shared" si="0"/>
      </c>
      <c r="M24" s="112">
        <f>IF(B24="","",IF(I24="Badge Only",200,IF(I24="","Choice option",IF(J24="","Choice Room",VLOOKUP(I24&amp;" "&amp;J24,Informations!$S$2:$V$8,2,FALSE)))))</f>
      </c>
      <c r="N24" s="109">
        <f t="shared" si="1"/>
      </c>
      <c r="O24" s="127"/>
      <c r="P24" s="44">
        <f>IF(M24="","",IF(I24="Badge Only",200,IF(OR((M24="Choice Room"),(M24="Choice option")),"",M24+(N24*(VLOOKUP(I24&amp;" "&amp;J24,Informations!$S$2:$V$8,3,FALSE)))+(O24*(VLOOKUP(I24&amp;" "&amp;J24,Informations!$S$2:$V$8,4,FALSE))))))</f>
      </c>
      <c r="Q24" s="45">
        <f t="shared" si="2"/>
        <v>0</v>
      </c>
      <c r="R24" s="45">
        <f t="shared" si="3"/>
        <v>0</v>
      </c>
      <c r="S24" s="22"/>
      <c r="T24" s="48" t="s">
        <v>34</v>
      </c>
      <c r="U24" s="40">
        <v>20</v>
      </c>
    </row>
    <row r="25" spans="1:21" ht="19.5" customHeight="1">
      <c r="A25" s="46">
        <v>15</v>
      </c>
      <c r="B25" s="42"/>
      <c r="C25" s="42"/>
      <c r="D25" s="69"/>
      <c r="E25" s="43"/>
      <c r="F25" s="43"/>
      <c r="G25" s="68"/>
      <c r="H25" s="68"/>
      <c r="I25" s="43"/>
      <c r="J25" s="43"/>
      <c r="K25" s="42"/>
      <c r="L25" s="109">
        <f t="shared" si="0"/>
      </c>
      <c r="M25" s="112">
        <f>IF(B25="","",IF(I25="Badge Only",200,IF(I25="","Choice option",IF(J25="","Choice Room",VLOOKUP(I25&amp;" "&amp;J25,Informations!$S$2:$V$8,2,FALSE)))))</f>
      </c>
      <c r="N25" s="109">
        <f t="shared" si="1"/>
      </c>
      <c r="O25" s="127"/>
      <c r="P25" s="44">
        <f>IF(M25="","",IF(I25="Badge Only",200,IF(OR((M25="Choice Room"),(M25="Choice option")),"",M25+(N25*(VLOOKUP(I25&amp;" "&amp;J25,Informations!$S$2:$V$8,3,FALSE)))+(O25*(VLOOKUP(I25&amp;" "&amp;J25,Informations!$S$2:$V$8,4,FALSE))))))</f>
      </c>
      <c r="Q25" s="45">
        <f t="shared" si="2"/>
        <v>0</v>
      </c>
      <c r="R25" s="45">
        <f t="shared" si="3"/>
        <v>0</v>
      </c>
      <c r="S25" s="22"/>
      <c r="T25" s="48" t="s">
        <v>35</v>
      </c>
      <c r="U25" s="40">
        <v>25</v>
      </c>
    </row>
    <row r="26" spans="1:21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0"/>
      <c r="N26" s="51"/>
      <c r="O26" s="154">
        <f>IF(SUM($P$11:$P$25)=0,"",SUM($P$11:$P$25))</f>
      </c>
      <c r="P26" s="191"/>
      <c r="Q26" s="45"/>
      <c r="R26" s="45"/>
      <c r="S26" s="22"/>
      <c r="T26" s="48" t="s">
        <v>36</v>
      </c>
      <c r="U26" s="40">
        <v>35</v>
      </c>
    </row>
    <row r="27" spans="1:19" ht="19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2"/>
      <c r="O27" s="53"/>
      <c r="P27" s="54">
        <f>IF(O27=1,VLOOKUP($I$11,Informations!$M$1:$N$2,2,FALSE)*-1,"")</f>
      </c>
      <c r="Q27" s="45"/>
      <c r="R27" s="45"/>
      <c r="S27" s="22"/>
    </row>
    <row r="28" spans="1:19" ht="15.75">
      <c r="A28" s="160" t="s">
        <v>127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55"/>
      <c r="M28" s="55"/>
      <c r="N28" s="52" t="s">
        <v>38</v>
      </c>
      <c r="O28" s="156">
        <f>IF($O$26="","",IF($P$27="",$O$26,$O$26+$P$27))</f>
      </c>
      <c r="P28" s="157"/>
      <c r="Q28" s="56"/>
      <c r="R28" s="56"/>
      <c r="S28" s="22"/>
    </row>
    <row r="29" spans="1:19" ht="6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57"/>
      <c r="M29" s="57"/>
      <c r="N29" s="57"/>
      <c r="O29" s="57"/>
      <c r="P29" s="31"/>
      <c r="Q29" s="31"/>
      <c r="R29" s="31"/>
      <c r="S29" s="22"/>
    </row>
    <row r="30" spans="1:19" ht="12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23"/>
      <c r="M30" s="23"/>
      <c r="N30" s="23"/>
      <c r="O30" s="23"/>
      <c r="P30" s="31"/>
      <c r="Q30" s="31"/>
      <c r="R30" s="31"/>
      <c r="S30" s="22"/>
    </row>
    <row r="31" spans="1:19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58"/>
      <c r="M31" s="57" t="s">
        <v>39</v>
      </c>
      <c r="N31" s="153"/>
      <c r="O31" s="153"/>
      <c r="P31" s="153"/>
      <c r="Q31" s="33"/>
      <c r="R31" s="33"/>
      <c r="S31" s="22"/>
    </row>
    <row r="32" spans="1:19" ht="12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23"/>
      <c r="M32" s="59"/>
      <c r="N32" s="23"/>
      <c r="O32" s="23"/>
      <c r="P32" s="31"/>
      <c r="Q32" s="31"/>
      <c r="R32" s="31"/>
      <c r="S32" s="22"/>
    </row>
    <row r="33" spans="1:19" ht="12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23"/>
      <c r="M33" s="57" t="s">
        <v>41</v>
      </c>
      <c r="N33" s="152"/>
      <c r="O33" s="152"/>
      <c r="P33" s="152"/>
      <c r="Q33" s="33"/>
      <c r="R33" s="33"/>
      <c r="S33" s="22"/>
    </row>
    <row r="34" spans="1:19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23"/>
      <c r="M34" s="57" t="s">
        <v>43</v>
      </c>
      <c r="N34" s="153"/>
      <c r="O34" s="153"/>
      <c r="P34" s="153"/>
      <c r="Q34" s="33"/>
      <c r="R34" s="33"/>
      <c r="S34" s="22"/>
    </row>
    <row r="35" spans="1:19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23"/>
      <c r="M35" s="59"/>
      <c r="N35" s="60"/>
      <c r="O35" s="60"/>
      <c r="P35" s="60"/>
      <c r="Q35" s="23"/>
      <c r="R35" s="23"/>
      <c r="S35" s="22"/>
    </row>
    <row r="36" spans="1:19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23"/>
      <c r="M36" s="59"/>
      <c r="N36" s="23"/>
      <c r="O36" s="23"/>
      <c r="P36" s="23"/>
      <c r="Q36" s="23"/>
      <c r="R36" s="23"/>
      <c r="S36" s="22"/>
    </row>
    <row r="37" spans="1:19" ht="12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23"/>
      <c r="M37" s="57" t="s">
        <v>46</v>
      </c>
      <c r="N37" s="162"/>
      <c r="O37" s="153"/>
      <c r="P37" s="153"/>
      <c r="Q37" s="33"/>
      <c r="R37" s="33"/>
      <c r="S37" s="22"/>
    </row>
    <row r="38" spans="1:19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23"/>
      <c r="M38" s="23"/>
      <c r="N38" s="23"/>
      <c r="O38" s="23"/>
      <c r="P38" s="31"/>
      <c r="Q38" s="31"/>
      <c r="R38" s="31"/>
      <c r="S38" s="22"/>
    </row>
    <row r="39" spans="1:19" ht="12.75">
      <c r="A39" s="61" t="s">
        <v>47</v>
      </c>
      <c r="B39" s="22"/>
      <c r="C39" s="5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62"/>
      <c r="Q39" s="62"/>
      <c r="R39" s="62"/>
      <c r="S39" s="22"/>
    </row>
    <row r="40" spans="1:19" ht="12.75" hidden="1">
      <c r="A40" s="6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62"/>
      <c r="Q40" s="62"/>
      <c r="R40" s="62"/>
      <c r="S40" s="22"/>
    </row>
    <row r="41" spans="1:19" ht="12.75" hidden="1">
      <c r="A41" s="6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62"/>
      <c r="Q41" s="62"/>
      <c r="R41" s="62"/>
      <c r="S41" s="22"/>
    </row>
    <row r="42" spans="1:19" ht="12.75" hidden="1">
      <c r="A42" s="6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62"/>
      <c r="Q42" s="62"/>
      <c r="R42" s="62"/>
      <c r="S42" s="22"/>
    </row>
    <row r="43" ht="12.75" hidden="1"/>
    <row r="44" spans="2:4" ht="12.75" hidden="1">
      <c r="B44" s="1">
        <v>1</v>
      </c>
      <c r="C44" s="1">
        <v>1</v>
      </c>
      <c r="D44" s="1">
        <v>1989</v>
      </c>
    </row>
    <row r="45" spans="2:4" ht="12.75" hidden="1">
      <c r="B45" s="1">
        <v>2</v>
      </c>
      <c r="C45" s="1">
        <v>2</v>
      </c>
      <c r="D45" s="1">
        <v>1990</v>
      </c>
    </row>
    <row r="46" spans="2:4" ht="12.75" hidden="1">
      <c r="B46" s="1">
        <v>3</v>
      </c>
      <c r="C46" s="1">
        <v>3</v>
      </c>
      <c r="D46" s="1">
        <v>1991</v>
      </c>
    </row>
    <row r="47" spans="2:4" ht="12.75" hidden="1">
      <c r="B47" s="1">
        <v>4</v>
      </c>
      <c r="C47" s="1">
        <v>4</v>
      </c>
      <c r="D47" s="1">
        <v>1992</v>
      </c>
    </row>
    <row r="48" spans="2:4" ht="12.75" hidden="1">
      <c r="B48" s="1">
        <v>5</v>
      </c>
      <c r="C48" s="1">
        <v>5</v>
      </c>
      <c r="D48" s="1">
        <v>1993</v>
      </c>
    </row>
    <row r="49" spans="2:4" ht="12.75" hidden="1">
      <c r="B49" s="1">
        <v>6</v>
      </c>
      <c r="C49" s="1">
        <v>6</v>
      </c>
      <c r="D49" s="1">
        <v>1994</v>
      </c>
    </row>
    <row r="50" spans="2:4" ht="12.75" hidden="1">
      <c r="B50" s="1">
        <v>7</v>
      </c>
      <c r="C50" s="1">
        <v>7</v>
      </c>
      <c r="D50" s="1">
        <v>1995</v>
      </c>
    </row>
    <row r="51" spans="2:4" ht="12.75" hidden="1">
      <c r="B51" s="1">
        <v>8</v>
      </c>
      <c r="C51" s="1">
        <v>8</v>
      </c>
      <c r="D51" s="1">
        <v>1996</v>
      </c>
    </row>
    <row r="52" spans="2:4" ht="12.75" hidden="1">
      <c r="B52" s="1">
        <v>9</v>
      </c>
      <c r="C52" s="1">
        <v>9</v>
      </c>
      <c r="D52" s="1">
        <v>1997</v>
      </c>
    </row>
    <row r="53" spans="2:4" ht="12.75" hidden="1">
      <c r="B53" s="1">
        <v>10</v>
      </c>
      <c r="C53" s="1">
        <v>10</v>
      </c>
      <c r="D53" s="1">
        <v>1998</v>
      </c>
    </row>
    <row r="54" spans="2:4" ht="12.75" hidden="1">
      <c r="B54" s="1">
        <v>11</v>
      </c>
      <c r="C54" s="1">
        <v>11</v>
      </c>
      <c r="D54" s="1">
        <v>1999</v>
      </c>
    </row>
    <row r="55" spans="2:4" ht="12.75" hidden="1">
      <c r="B55" s="1">
        <v>12</v>
      </c>
      <c r="C55" s="1">
        <v>12</v>
      </c>
      <c r="D55" s="1">
        <v>2000</v>
      </c>
    </row>
    <row r="56" spans="2:4" ht="12.75" hidden="1">
      <c r="B56" s="1">
        <v>13</v>
      </c>
      <c r="D56" s="1">
        <v>2001</v>
      </c>
    </row>
    <row r="57" spans="2:4" ht="12.75" hidden="1">
      <c r="B57" s="1">
        <v>14</v>
      </c>
      <c r="D57" s="1">
        <v>2002</v>
      </c>
    </row>
    <row r="58" spans="2:4" ht="12.75" hidden="1">
      <c r="B58" s="1">
        <v>15</v>
      </c>
      <c r="D58" s="1">
        <v>2003</v>
      </c>
    </row>
    <row r="59" spans="2:4" ht="12.75" hidden="1">
      <c r="B59" s="1">
        <v>16</v>
      </c>
      <c r="D59" s="1">
        <v>2004</v>
      </c>
    </row>
    <row r="60" spans="2:4" ht="12.75" hidden="1">
      <c r="B60" s="1">
        <v>17</v>
      </c>
      <c r="D60" s="1">
        <v>2005</v>
      </c>
    </row>
    <row r="61" spans="2:4" ht="12.75" hidden="1">
      <c r="B61" s="1">
        <v>18</v>
      </c>
      <c r="D61" s="1">
        <v>2006</v>
      </c>
    </row>
    <row r="62" spans="2:4" ht="12.75" hidden="1">
      <c r="B62" s="1">
        <v>19</v>
      </c>
      <c r="D62" s="1">
        <v>2007</v>
      </c>
    </row>
    <row r="63" ht="12.75" hidden="1">
      <c r="B63" s="1">
        <v>20</v>
      </c>
    </row>
    <row r="64" ht="12.75" hidden="1">
      <c r="B64" s="1">
        <v>21</v>
      </c>
    </row>
    <row r="65" ht="12.75" hidden="1">
      <c r="B65" s="1">
        <v>22</v>
      </c>
    </row>
    <row r="66" ht="12.75" hidden="1">
      <c r="B66" s="1">
        <v>23</v>
      </c>
    </row>
    <row r="67" ht="12.75" hidden="1">
      <c r="B67" s="1">
        <v>24</v>
      </c>
    </row>
    <row r="68" ht="12.75" hidden="1">
      <c r="B68" s="1">
        <v>25</v>
      </c>
    </row>
    <row r="69" ht="12.75" hidden="1">
      <c r="B69" s="1">
        <v>26</v>
      </c>
    </row>
    <row r="70" ht="12.75" hidden="1">
      <c r="B70" s="1">
        <v>27</v>
      </c>
    </row>
    <row r="71" ht="12.75" hidden="1">
      <c r="B71" s="1">
        <v>28</v>
      </c>
    </row>
    <row r="72" ht="12.75" hidden="1">
      <c r="B72" s="1">
        <v>29</v>
      </c>
    </row>
    <row r="73" ht="12.75" hidden="1">
      <c r="B73" s="1">
        <v>30</v>
      </c>
    </row>
    <row r="74" ht="12.75" hidden="1">
      <c r="B74" s="1">
        <v>31</v>
      </c>
    </row>
  </sheetData>
  <sheetProtection sheet="1" selectLockedCells="1"/>
  <mergeCells count="18">
    <mergeCell ref="B8:B9"/>
    <mergeCell ref="P1:P2"/>
    <mergeCell ref="Q1:R1"/>
    <mergeCell ref="I2:K2"/>
    <mergeCell ref="I3:K3"/>
    <mergeCell ref="A6:G6"/>
    <mergeCell ref="H6:K6"/>
    <mergeCell ref="M6:N6"/>
    <mergeCell ref="C8:C9"/>
    <mergeCell ref="L8:L9"/>
    <mergeCell ref="O26:P26"/>
    <mergeCell ref="O28:P28"/>
    <mergeCell ref="A28:K38"/>
    <mergeCell ref="N34:P34"/>
    <mergeCell ref="N37:P37"/>
    <mergeCell ref="N31:P31"/>
    <mergeCell ref="N33:P33"/>
    <mergeCell ref="A8:A9"/>
  </mergeCells>
  <conditionalFormatting sqref="N11:N25">
    <cfRule type="cellIs" priority="1" dxfId="0" operator="equal">
      <formula>0</formula>
    </cfRule>
  </conditionalFormatting>
  <dataValidations count="6">
    <dataValidation type="list" allowBlank="1" showInputMessage="1" showErrorMessage="1" sqref="I11:I25">
      <formula1>List_Package</formula1>
    </dataValidation>
    <dataValidation type="list" allowBlank="1" showInputMessage="1" showErrorMessage="1" sqref="F11:F25">
      <formula1>List_Sex</formula1>
    </dataValidation>
    <dataValidation type="list" allowBlank="1" showInputMessage="1" showErrorMessage="1" sqref="E11:E25">
      <formula1>list_cat</formula1>
    </dataValidation>
    <dataValidation type="list" allowBlank="1" showInputMessage="1" showErrorMessage="1" sqref="L26:L27">
      <formula1>$A$38:$A$39</formula1>
    </dataValidation>
    <dataValidation type="list" allowBlank="1" showInputMessage="1" showErrorMessage="1" sqref="M26:M27">
      <formula1>$A$11:$A$25</formula1>
    </dataValidation>
    <dataValidation type="list" allowBlank="1" showInputMessage="1" showErrorMessage="1" sqref="J11:J25">
      <formula1>List_Chambres</formula1>
    </dataValidation>
  </dataValidations>
  <printOptions/>
  <pageMargins left="0.2" right="0.2" top="0.26" bottom="0.3" header="0.22" footer="0.31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showRowColHeaders="0" tabSelected="1" zoomScalePageLayoutView="0" workbookViewId="0" topLeftCell="A1">
      <selection activeCell="M4" sqref="M4:V4"/>
    </sheetView>
  </sheetViews>
  <sheetFormatPr defaultColWidth="0" defaultRowHeight="0" customHeight="1" zeroHeight="1"/>
  <cols>
    <col min="1" max="1" width="6.57421875" style="19" bestFit="1" customWidth="1"/>
    <col min="2" max="2" width="18.57421875" style="1" customWidth="1"/>
    <col min="3" max="3" width="13.421875" style="1" customWidth="1"/>
    <col min="4" max="4" width="11.57421875" style="1" bestFit="1" customWidth="1"/>
    <col min="5" max="5" width="11.8515625" style="1" bestFit="1" customWidth="1"/>
    <col min="6" max="6" width="9.57421875" style="1" bestFit="1" customWidth="1"/>
    <col min="7" max="7" width="9.57421875" style="1" customWidth="1"/>
    <col min="8" max="8" width="17.140625" style="1" customWidth="1"/>
    <col min="9" max="9" width="12.8515625" style="1" bestFit="1" customWidth="1"/>
    <col min="10" max="10" width="13.421875" style="1" customWidth="1"/>
    <col min="11" max="11" width="14.57421875" style="1" customWidth="1"/>
    <col min="12" max="12" width="11.421875" style="1" bestFit="1" customWidth="1"/>
    <col min="13" max="13" width="11.57421875" style="64" customWidth="1"/>
    <col min="14" max="15" width="11.57421875" style="64" hidden="1" customWidth="1"/>
    <col min="16" max="16" width="5.140625" style="1" hidden="1" customWidth="1"/>
    <col min="17" max="17" width="10.57421875" style="1" hidden="1" customWidth="1"/>
    <col min="18" max="21" width="11.421875" style="1" hidden="1" customWidth="1"/>
    <col min="22" max="23" width="11.421875" style="1" customWidth="1"/>
    <col min="24" max="243" width="11.421875" style="1" hidden="1" customWidth="1"/>
    <col min="244" max="16384" width="0" style="1" hidden="1" customWidth="1"/>
  </cols>
  <sheetData>
    <row r="1" spans="1:23" ht="18" customHeight="1">
      <c r="A1" s="20"/>
      <c r="B1" s="21" t="str">
        <f>'0 Information'!J2</f>
        <v>15th Euro Mini Champ's</v>
      </c>
      <c r="C1" s="20"/>
      <c r="D1" s="20"/>
      <c r="E1" s="20"/>
      <c r="F1" s="20"/>
      <c r="G1" s="22"/>
      <c r="H1" s="23"/>
      <c r="I1" s="24"/>
      <c r="J1" s="24"/>
      <c r="K1" s="24"/>
      <c r="L1" s="25"/>
      <c r="M1" s="169"/>
      <c r="N1" s="170"/>
      <c r="O1" s="170"/>
      <c r="P1" s="22"/>
      <c r="W1" s="169" t="s">
        <v>113</v>
      </c>
    </row>
    <row r="2" spans="1:23" ht="18" customHeight="1">
      <c r="A2" s="20"/>
      <c r="B2" s="21" t="str">
        <f>'0 Information'!J3</f>
        <v>SCHILTIGHEIM 23-25/08/2019</v>
      </c>
      <c r="C2" s="24"/>
      <c r="D2" s="24"/>
      <c r="E2" s="24"/>
      <c r="F2" s="24"/>
      <c r="G2" s="22"/>
      <c r="H2" s="23"/>
      <c r="I2" s="183" t="str">
        <f>"Deadline Accommodation : "&amp;TEXT(Informations!$B$8,"jj/mm/aaaa")</f>
        <v>Deadline Accommodation : 08/06/2019</v>
      </c>
      <c r="J2" s="184"/>
      <c r="K2" s="185"/>
      <c r="L2" s="27"/>
      <c r="M2" s="169"/>
      <c r="N2" s="28">
        <v>35</v>
      </c>
      <c r="O2" s="26"/>
      <c r="P2" s="22"/>
      <c r="W2" s="169"/>
    </row>
    <row r="3" spans="1:23" ht="18" customHeight="1">
      <c r="A3" s="24"/>
      <c r="B3" s="21" t="str">
        <f>IF('0 Information'!J4="","",'0 Information'!J4)</f>
        <v>http://www.eurominichamps.com</v>
      </c>
      <c r="C3" s="24"/>
      <c r="D3" s="24"/>
      <c r="E3" s="24"/>
      <c r="F3" s="24"/>
      <c r="G3" s="22"/>
      <c r="H3" s="23"/>
      <c r="I3" s="186" t="str">
        <f>"Deadline Travel Details:  "&amp;TEXT(Informations!$B$9,"jj/mm/aaaa")</f>
        <v>Deadline Travel Details:  05/07/2019</v>
      </c>
      <c r="J3" s="187"/>
      <c r="K3" s="188"/>
      <c r="L3" s="23"/>
      <c r="M3" s="29"/>
      <c r="N3" s="28"/>
      <c r="O3" s="29"/>
      <c r="P3" s="22"/>
      <c r="W3" s="29" t="s">
        <v>111</v>
      </c>
    </row>
    <row r="4" spans="1:22" ht="12.75">
      <c r="A4" s="30"/>
      <c r="B4" s="22"/>
      <c r="C4" s="22"/>
      <c r="D4" s="22"/>
      <c r="E4" s="22"/>
      <c r="F4" s="22"/>
      <c r="G4" s="22"/>
      <c r="H4" s="22"/>
      <c r="I4" s="22"/>
      <c r="J4" s="22"/>
      <c r="K4" s="22"/>
      <c r="L4" s="57" t="s">
        <v>46</v>
      </c>
      <c r="M4" s="182">
        <f ca="1">TODAY()</f>
        <v>43606</v>
      </c>
      <c r="N4" s="182"/>
      <c r="O4" s="182"/>
      <c r="P4" s="182"/>
      <c r="Q4" s="182"/>
      <c r="R4" s="182"/>
      <c r="S4" s="182"/>
      <c r="T4" s="182"/>
      <c r="U4" s="182"/>
      <c r="V4" s="182"/>
    </row>
    <row r="5" spans="1:16" ht="6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1"/>
      <c r="N5" s="21"/>
      <c r="O5" s="31"/>
      <c r="P5" s="22"/>
    </row>
    <row r="6" spans="1:16" ht="19.5" customHeight="1">
      <c r="A6" s="177" t="s">
        <v>9</v>
      </c>
      <c r="B6" s="177"/>
      <c r="C6" s="177"/>
      <c r="D6" s="177"/>
      <c r="E6" s="177"/>
      <c r="F6" s="177"/>
      <c r="G6" s="178"/>
      <c r="H6" s="189">
        <f>IF('Complementary List'!$H$6="","",'Complementary List'!$H$6)</f>
      </c>
      <c r="I6" s="189"/>
      <c r="J6" s="189"/>
      <c r="K6" s="190"/>
      <c r="L6" s="32"/>
      <c r="M6" s="31"/>
      <c r="N6" s="21"/>
      <c r="O6" s="31"/>
      <c r="P6" s="22"/>
    </row>
    <row r="7" spans="1:16" ht="6" customHeight="1">
      <c r="A7" s="3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1"/>
      <c r="N7" s="31"/>
      <c r="O7" s="31"/>
      <c r="P7" s="22"/>
    </row>
    <row r="8" spans="1:16" ht="12.75" customHeight="1">
      <c r="A8" s="158" t="s">
        <v>10</v>
      </c>
      <c r="B8" s="163" t="s">
        <v>16</v>
      </c>
      <c r="C8" s="165" t="s">
        <v>48</v>
      </c>
      <c r="D8" s="34" t="s">
        <v>56</v>
      </c>
      <c r="E8" s="34" t="s">
        <v>51</v>
      </c>
      <c r="F8" s="34" t="s">
        <v>99</v>
      </c>
      <c r="G8" s="35" t="s">
        <v>12</v>
      </c>
      <c r="H8" s="35" t="s">
        <v>100</v>
      </c>
      <c r="I8" s="35" t="s">
        <v>12</v>
      </c>
      <c r="J8" s="66" t="s">
        <v>103</v>
      </c>
      <c r="K8" s="35" t="s">
        <v>13</v>
      </c>
      <c r="L8" s="35" t="s">
        <v>13</v>
      </c>
      <c r="M8" s="66" t="s">
        <v>103</v>
      </c>
      <c r="N8" s="36"/>
      <c r="O8" s="36"/>
      <c r="P8" s="22"/>
    </row>
    <row r="9" spans="1:21" ht="12.75">
      <c r="A9" s="159"/>
      <c r="B9" s="164"/>
      <c r="C9" s="166"/>
      <c r="D9" s="67"/>
      <c r="E9" s="37" t="s">
        <v>52</v>
      </c>
      <c r="F9" s="34" t="s">
        <v>11</v>
      </c>
      <c r="G9" s="67" t="s">
        <v>50</v>
      </c>
      <c r="H9" s="67" t="s">
        <v>101</v>
      </c>
      <c r="I9" s="67" t="s">
        <v>102</v>
      </c>
      <c r="J9" s="67" t="s">
        <v>66</v>
      </c>
      <c r="K9" s="67" t="s">
        <v>104</v>
      </c>
      <c r="L9" s="67" t="s">
        <v>102</v>
      </c>
      <c r="M9" s="67" t="s">
        <v>66</v>
      </c>
      <c r="N9" s="33"/>
      <c r="O9" s="33"/>
      <c r="P9" s="22"/>
      <c r="R9" s="38" t="s">
        <v>19</v>
      </c>
      <c r="S9" s="38" t="s">
        <v>20</v>
      </c>
      <c r="T9" s="38" t="s">
        <v>17</v>
      </c>
      <c r="U9" s="38" t="s">
        <v>18</v>
      </c>
    </row>
    <row r="10" spans="1:21" ht="13.5" customHeight="1">
      <c r="A10" s="103" t="s">
        <v>53</v>
      </c>
      <c r="B10" s="104" t="s">
        <v>54</v>
      </c>
      <c r="C10" s="104" t="s">
        <v>55</v>
      </c>
      <c r="D10" s="105" t="s">
        <v>40</v>
      </c>
      <c r="E10" s="106" t="s">
        <v>42</v>
      </c>
      <c r="F10" s="106" t="s">
        <v>84</v>
      </c>
      <c r="G10" s="105">
        <v>42242</v>
      </c>
      <c r="H10" s="105" t="s">
        <v>105</v>
      </c>
      <c r="I10" s="113">
        <v>0.7430555555555555</v>
      </c>
      <c r="J10" s="106" t="s">
        <v>106</v>
      </c>
      <c r="K10" s="105">
        <v>42246</v>
      </c>
      <c r="L10" s="113">
        <v>0.6597222222222222</v>
      </c>
      <c r="M10" s="107" t="s">
        <v>107</v>
      </c>
      <c r="N10" s="38" t="s">
        <v>17</v>
      </c>
      <c r="O10" s="38" t="s">
        <v>18</v>
      </c>
      <c r="P10" s="22"/>
      <c r="Q10" s="39" t="s">
        <v>21</v>
      </c>
      <c r="R10" s="40">
        <f>PACK1+(3*_EN1)</f>
        <v>240</v>
      </c>
      <c r="S10" s="40">
        <f>2*_EN1</f>
        <v>40</v>
      </c>
      <c r="T10" s="40">
        <f>_EM1</f>
        <v>13</v>
      </c>
      <c r="U10" s="40">
        <f>2*_EN1</f>
        <v>40</v>
      </c>
    </row>
    <row r="11" spans="1:21" ht="19.5" customHeight="1">
      <c r="A11" s="41">
        <v>1</v>
      </c>
      <c r="B11" s="128">
        <f>IF('Complementary List'!B11="","",'Complementary List'!B11)</f>
      </c>
      <c r="C11" s="128">
        <f>IF('Complementary List'!C11="","",'Complementary List'!C11)</f>
      </c>
      <c r="D11" s="129">
        <f>IF('Complementary List'!F11="","",'Complementary List'!F11)</f>
      </c>
      <c r="E11" s="129">
        <f>IF('Complementary List'!E11="","",'Complementary List'!E11)</f>
      </c>
      <c r="F11" s="130"/>
      <c r="G11" s="129">
        <f>IF('Complementary List'!G11="","",'Complementary List'!G11)</f>
      </c>
      <c r="H11" s="130"/>
      <c r="I11" s="131"/>
      <c r="J11" s="132"/>
      <c r="K11" s="129">
        <f>IF('Complementary List'!H11="","",'Complementary List'!H11)</f>
      </c>
      <c r="L11" s="131"/>
      <c r="M11" s="132"/>
      <c r="N11" s="45" t="e">
        <f>IF(#REF!="",0,(VLOOKUP(#REF!,$Q$10:$U$16,4,FALSE)))</f>
        <v>#REF!</v>
      </c>
      <c r="O11" s="45">
        <f>IF(L11="",0,(VLOOKUP(#REF!,$Q$10:$U$16,5,FALSE)))</f>
        <v>0</v>
      </c>
      <c r="P11" s="22"/>
      <c r="Q11" s="39" t="s">
        <v>22</v>
      </c>
      <c r="R11" s="40">
        <f>PACK1</f>
        <v>180</v>
      </c>
      <c r="S11" s="40"/>
      <c r="T11" s="40">
        <f>_EM1</f>
        <v>13</v>
      </c>
      <c r="U11" s="40">
        <f>_EN1</f>
        <v>20</v>
      </c>
    </row>
    <row r="12" spans="1:21" ht="19.5" customHeight="1">
      <c r="A12" s="46">
        <v>2</v>
      </c>
      <c r="B12" s="128">
        <f>IF('Complementary List'!B12="","",'Complementary List'!B12)</f>
      </c>
      <c r="C12" s="128">
        <f>IF('Complementary List'!C12="","",'Complementary List'!C12)</f>
      </c>
      <c r="D12" s="129">
        <f>IF('Complementary List'!F12="","",'Complementary List'!F12)</f>
      </c>
      <c r="E12" s="129">
        <f>IF('Complementary List'!E12="","",'Complementary List'!E12)</f>
      </c>
      <c r="F12" s="130"/>
      <c r="G12" s="129">
        <f>IF('Complementary List'!G12="","",'Complementary List'!G12)</f>
      </c>
      <c r="H12" s="130"/>
      <c r="I12" s="131"/>
      <c r="J12" s="132"/>
      <c r="K12" s="129">
        <f>IF('Complementary List'!H12="","",'Complementary List'!H12)</f>
      </c>
      <c r="L12" s="131"/>
      <c r="M12" s="132"/>
      <c r="N12" s="45" t="e">
        <f>IF(#REF!="",0,(VLOOKUP(#REF!,$Q$10:$U$16,4,FALSE)))</f>
        <v>#REF!</v>
      </c>
      <c r="O12" s="45">
        <f>IF(L12="",0,(VLOOKUP(#REF!,$Q$10:$U$16,5,FALSE)))</f>
        <v>0</v>
      </c>
      <c r="P12" s="22"/>
      <c r="Q12" s="39" t="s">
        <v>23</v>
      </c>
      <c r="R12" s="40">
        <f>PACK1-_EN1</f>
        <v>160</v>
      </c>
      <c r="S12" s="40"/>
      <c r="T12" s="40">
        <f>_EM1</f>
        <v>13</v>
      </c>
      <c r="U12" s="40">
        <f>_EN1</f>
        <v>20</v>
      </c>
    </row>
    <row r="13" spans="1:21" ht="19.5" customHeight="1">
      <c r="A13" s="46">
        <v>3</v>
      </c>
      <c r="B13" s="128">
        <f>IF('Complementary List'!B13="","",'Complementary List'!B13)</f>
      </c>
      <c r="C13" s="128">
        <f>IF('Complementary List'!C13="","",'Complementary List'!C13)</f>
      </c>
      <c r="D13" s="129">
        <f>IF('Complementary List'!F13="","",'Complementary List'!F13)</f>
      </c>
      <c r="E13" s="129">
        <f>IF('Complementary List'!E13="","",'Complementary List'!E13)</f>
      </c>
      <c r="F13" s="130"/>
      <c r="G13" s="129">
        <f>IF('Complementary List'!G13="","",'Complementary List'!G13)</f>
      </c>
      <c r="H13" s="130"/>
      <c r="I13" s="131"/>
      <c r="J13" s="132"/>
      <c r="K13" s="129">
        <f>IF('Complementary List'!H13="","",'Complementary List'!H13)</f>
      </c>
      <c r="L13" s="131"/>
      <c r="M13" s="132"/>
      <c r="N13" s="45" t="e">
        <f>IF(#REF!="",0,(VLOOKUP(#REF!,$Q$10:$U$16,4,FALSE)))</f>
        <v>#REF!</v>
      </c>
      <c r="O13" s="45">
        <f>IF(L13="",0,(VLOOKUP(#REF!,$Q$10:$U$16,5,FALSE)))</f>
        <v>0</v>
      </c>
      <c r="P13" s="22"/>
      <c r="Q13" s="39" t="s">
        <v>24</v>
      </c>
      <c r="R13" s="40">
        <f>PACK2+(3*_EN2)</f>
        <v>265</v>
      </c>
      <c r="S13" s="40">
        <f>2*_EN2</f>
        <v>50</v>
      </c>
      <c r="T13" s="40">
        <f>_EM2</f>
        <v>13</v>
      </c>
      <c r="U13" s="40">
        <f>2*_EN2</f>
        <v>50</v>
      </c>
    </row>
    <row r="14" spans="1:21" ht="19.5" customHeight="1">
      <c r="A14" s="46">
        <v>4</v>
      </c>
      <c r="B14" s="128">
        <f>IF('Complementary List'!B14="","",'Complementary List'!B14)</f>
      </c>
      <c r="C14" s="128">
        <f>IF('Complementary List'!C14="","",'Complementary List'!C14)</f>
      </c>
      <c r="D14" s="129">
        <f>IF('Complementary List'!F14="","",'Complementary List'!F14)</f>
      </c>
      <c r="E14" s="129">
        <f>IF('Complementary List'!E14="","",'Complementary List'!E14)</f>
      </c>
      <c r="F14" s="130"/>
      <c r="G14" s="129">
        <f>IF('Complementary List'!G14="","",'Complementary List'!G14)</f>
      </c>
      <c r="H14" s="130"/>
      <c r="I14" s="131"/>
      <c r="J14" s="132"/>
      <c r="K14" s="129">
        <f>IF('Complementary List'!H14="","",'Complementary List'!H14)</f>
      </c>
      <c r="L14" s="131"/>
      <c r="M14" s="132"/>
      <c r="N14" s="45" t="e">
        <f>IF(#REF!="",0,(VLOOKUP(#REF!,$Q$10:$U$16,4,FALSE)))</f>
        <v>#REF!</v>
      </c>
      <c r="O14" s="45">
        <f>IF(L14="",0,(VLOOKUP(#REF!,$Q$10:$U$16,5,FALSE)))</f>
        <v>0</v>
      </c>
      <c r="P14" s="22"/>
      <c r="Q14" s="39" t="s">
        <v>25</v>
      </c>
      <c r="R14" s="40">
        <f>PACK2</f>
        <v>190</v>
      </c>
      <c r="S14" s="40"/>
      <c r="T14" s="40">
        <f>_EM2</f>
        <v>13</v>
      </c>
      <c r="U14" s="40">
        <f>_EN2</f>
        <v>25</v>
      </c>
    </row>
    <row r="15" spans="1:21" ht="19.5" customHeight="1">
      <c r="A15" s="46">
        <v>5</v>
      </c>
      <c r="B15" s="128">
        <f>IF('Complementary List'!B15="","",'Complementary List'!B15)</f>
      </c>
      <c r="C15" s="128">
        <f>IF('Complementary List'!C15="","",'Complementary List'!C15)</f>
      </c>
      <c r="D15" s="129">
        <f>IF('Complementary List'!F15="","",'Complementary List'!F15)</f>
      </c>
      <c r="E15" s="129">
        <f>IF('Complementary List'!E15="","",'Complementary List'!E15)</f>
      </c>
      <c r="F15" s="130"/>
      <c r="G15" s="129">
        <f>IF('Complementary List'!G15="","",'Complementary List'!G15)</f>
      </c>
      <c r="H15" s="130"/>
      <c r="I15" s="131"/>
      <c r="J15" s="132"/>
      <c r="K15" s="129">
        <f>IF('Complementary List'!H15="","",'Complementary List'!H15)</f>
      </c>
      <c r="L15" s="131"/>
      <c r="M15" s="132"/>
      <c r="N15" s="45" t="e">
        <f>IF(#REF!="",0,(VLOOKUP(#REF!,$Q$10:$U$16,4,FALSE)))</f>
        <v>#REF!</v>
      </c>
      <c r="O15" s="45">
        <f>IF(L15="",0,(VLOOKUP(#REF!,$Q$10:$U$16,5,FALSE)))</f>
        <v>0</v>
      </c>
      <c r="P15" s="22"/>
      <c r="Q15" s="39" t="s">
        <v>26</v>
      </c>
      <c r="R15" s="40" t="e">
        <f>PACKFULL+(3*_ENFULL)</f>
        <v>#REF!</v>
      </c>
      <c r="S15" s="40" t="e">
        <f>2*_ENFULL</f>
        <v>#REF!</v>
      </c>
      <c r="T15" s="40">
        <f>_EMFULL</f>
        <v>13</v>
      </c>
      <c r="U15" s="40" t="e">
        <f>2*_ENFULL</f>
        <v>#REF!</v>
      </c>
    </row>
    <row r="16" spans="1:21" ht="19.5" customHeight="1">
      <c r="A16" s="46">
        <v>6</v>
      </c>
      <c r="B16" s="128">
        <f>IF('Complementary List'!B16="","",'Complementary List'!B16)</f>
      </c>
      <c r="C16" s="128">
        <f>IF('Complementary List'!C16="","",'Complementary List'!C16)</f>
      </c>
      <c r="D16" s="129">
        <f>IF('Complementary List'!F16="","",'Complementary List'!F16)</f>
      </c>
      <c r="E16" s="129">
        <f>IF('Complementary List'!E16="","",'Complementary List'!E16)</f>
      </c>
      <c r="F16" s="130"/>
      <c r="G16" s="129">
        <f>IF('Complementary List'!G16="","",'Complementary List'!G16)</f>
      </c>
      <c r="H16" s="130"/>
      <c r="I16" s="131"/>
      <c r="J16" s="132"/>
      <c r="K16" s="129">
        <f>IF('Complementary List'!H16="","",'Complementary List'!H16)</f>
      </c>
      <c r="L16" s="131"/>
      <c r="M16" s="132"/>
      <c r="N16" s="45" t="e">
        <f>IF(#REF!="",0,(VLOOKUP(#REF!,$Q$10:$U$16,4,FALSE)))</f>
        <v>#REF!</v>
      </c>
      <c r="O16" s="45">
        <f>IF(L16="",0,(VLOOKUP(#REF!,$Q$10:$U$16,5,FALSE)))</f>
        <v>0</v>
      </c>
      <c r="P16" s="22"/>
      <c r="Q16" s="39" t="s">
        <v>27</v>
      </c>
      <c r="R16" s="40">
        <f>PACKFULL</f>
        <v>210</v>
      </c>
      <c r="S16" s="40"/>
      <c r="T16" s="40">
        <f>_EMFULL</f>
        <v>13</v>
      </c>
      <c r="U16" s="40" t="e">
        <f>_ENFULL</f>
        <v>#REF!</v>
      </c>
    </row>
    <row r="17" spans="1:16" ht="19.5" customHeight="1">
      <c r="A17" s="46">
        <v>7</v>
      </c>
      <c r="B17" s="128">
        <f>IF('Complementary List'!B17="","",'Complementary List'!B17)</f>
      </c>
      <c r="C17" s="128">
        <f>IF('Complementary List'!C17="","",'Complementary List'!C17)</f>
      </c>
      <c r="D17" s="129">
        <f>IF('Complementary List'!F17="","",'Complementary List'!F17)</f>
      </c>
      <c r="E17" s="129">
        <f>IF('Complementary List'!E17="","",'Complementary List'!E17)</f>
      </c>
      <c r="F17" s="130"/>
      <c r="G17" s="129">
        <f>IF('Complementary List'!G17="","",'Complementary List'!G17)</f>
      </c>
      <c r="H17" s="130"/>
      <c r="I17" s="131"/>
      <c r="J17" s="132"/>
      <c r="K17" s="129">
        <f>IF('Complementary List'!H17="","",'Complementary List'!H17)</f>
      </c>
      <c r="L17" s="131"/>
      <c r="M17" s="132"/>
      <c r="N17" s="45" t="e">
        <f>IF(#REF!="",0,(VLOOKUP(#REF!,$Q$10:$U$16,4,FALSE)))</f>
        <v>#REF!</v>
      </c>
      <c r="O17" s="45">
        <f>IF(L17="",0,(VLOOKUP(#REF!,$Q$10:$U$16,5,FALSE)))</f>
        <v>0</v>
      </c>
      <c r="P17" s="22"/>
    </row>
    <row r="18" spans="1:18" ht="19.5" customHeight="1">
      <c r="A18" s="46">
        <v>8</v>
      </c>
      <c r="B18" s="128">
        <f>IF('Complementary List'!B18="","",'Complementary List'!B18)</f>
      </c>
      <c r="C18" s="128">
        <f>IF('Complementary List'!C18="","",'Complementary List'!C18)</f>
      </c>
      <c r="D18" s="129">
        <f>IF('Complementary List'!F18="","",'Complementary List'!F18)</f>
      </c>
      <c r="E18" s="129">
        <f>IF('Complementary List'!E18="","",'Complementary List'!E18)</f>
      </c>
      <c r="F18" s="130"/>
      <c r="G18" s="129">
        <f>IF('Complementary List'!G18="","",'Complementary List'!G18)</f>
      </c>
      <c r="H18" s="130"/>
      <c r="I18" s="131"/>
      <c r="J18" s="132"/>
      <c r="K18" s="129">
        <f>IF('Complementary List'!H18="","",'Complementary List'!H18)</f>
      </c>
      <c r="L18" s="131"/>
      <c r="M18" s="132"/>
      <c r="N18" s="45" t="e">
        <f>IF(#REF!="",0,(VLOOKUP(#REF!,$Q$10:$U$16,4,FALSE)))</f>
        <v>#REF!</v>
      </c>
      <c r="O18" s="45">
        <f>IF(L18="",0,(VLOOKUP(#REF!,$Q$10:$U$16,5,FALSE)))</f>
        <v>0</v>
      </c>
      <c r="P18" s="22"/>
      <c r="Q18" s="48" t="s">
        <v>28</v>
      </c>
      <c r="R18" s="40">
        <v>180</v>
      </c>
    </row>
    <row r="19" spans="1:18" ht="19.5" customHeight="1">
      <c r="A19" s="46">
        <v>9</v>
      </c>
      <c r="B19" s="128">
        <f>IF('Complementary List'!B19="","",'Complementary List'!B19)</f>
      </c>
      <c r="C19" s="128">
        <f>IF('Complementary List'!C19="","",'Complementary List'!C19)</f>
      </c>
      <c r="D19" s="129">
        <f>IF('Complementary List'!F19="","",'Complementary List'!F19)</f>
      </c>
      <c r="E19" s="129">
        <f>IF('Complementary List'!E19="","",'Complementary List'!E19)</f>
      </c>
      <c r="F19" s="130"/>
      <c r="G19" s="129">
        <f>IF('Complementary List'!G19="","",'Complementary List'!G19)</f>
      </c>
      <c r="H19" s="130"/>
      <c r="I19" s="131"/>
      <c r="J19" s="132"/>
      <c r="K19" s="129">
        <f>IF('Complementary List'!H19="","",'Complementary List'!H19)</f>
      </c>
      <c r="L19" s="131"/>
      <c r="M19" s="132"/>
      <c r="N19" s="45" t="e">
        <f>IF(#REF!="",0,(VLOOKUP(#REF!,$Q$10:$U$16,4,FALSE)))</f>
        <v>#REF!</v>
      </c>
      <c r="O19" s="45">
        <f>IF(L19="",0,(VLOOKUP(#REF!,$Q$10:$U$16,5,FALSE)))</f>
        <v>0</v>
      </c>
      <c r="P19" s="22"/>
      <c r="Q19" s="48" t="s">
        <v>29</v>
      </c>
      <c r="R19" s="40">
        <v>190</v>
      </c>
    </row>
    <row r="20" spans="1:18" ht="19.5" customHeight="1">
      <c r="A20" s="46">
        <v>10</v>
      </c>
      <c r="B20" s="128">
        <f>IF('Complementary List'!B20="","",'Complementary List'!B20)</f>
      </c>
      <c r="C20" s="128">
        <f>IF('Complementary List'!C20="","",'Complementary List'!C20)</f>
      </c>
      <c r="D20" s="129">
        <f>IF('Complementary List'!F20="","",'Complementary List'!F20)</f>
      </c>
      <c r="E20" s="129">
        <f>IF('Complementary List'!E20="","",'Complementary List'!E20)</f>
      </c>
      <c r="F20" s="130"/>
      <c r="G20" s="129">
        <f>IF('Complementary List'!G20="","",'Complementary List'!G20)</f>
      </c>
      <c r="H20" s="130"/>
      <c r="I20" s="131"/>
      <c r="J20" s="132"/>
      <c r="K20" s="129">
        <f>IF('Complementary List'!H20="","",'Complementary List'!H20)</f>
      </c>
      <c r="L20" s="131"/>
      <c r="M20" s="132"/>
      <c r="N20" s="45" t="e">
        <f>IF(#REF!="",0,(VLOOKUP(#REF!,$Q$10:$U$16,4,FALSE)))</f>
        <v>#REF!</v>
      </c>
      <c r="O20" s="45">
        <f>IF(L20="",0,(VLOOKUP(#REF!,$Q$10:$U$16,5,FALSE)))</f>
        <v>0</v>
      </c>
      <c r="P20" s="22"/>
      <c r="Q20" s="48" t="s">
        <v>30</v>
      </c>
      <c r="R20" s="40">
        <v>210</v>
      </c>
    </row>
    <row r="21" spans="1:18" ht="19.5" customHeight="1">
      <c r="A21" s="46">
        <v>11</v>
      </c>
      <c r="B21" s="128">
        <f>IF('Complementary List'!B21="","",'Complementary List'!B21)</f>
      </c>
      <c r="C21" s="128">
        <f>IF('Complementary List'!C21="","",'Complementary List'!C21)</f>
      </c>
      <c r="D21" s="129">
        <f>IF('Complementary List'!F21="","",'Complementary List'!F21)</f>
      </c>
      <c r="E21" s="129">
        <f>IF('Complementary List'!E21="","",'Complementary List'!E21)</f>
      </c>
      <c r="F21" s="130"/>
      <c r="G21" s="129">
        <f>IF('Complementary List'!G21="","",'Complementary List'!G21)</f>
      </c>
      <c r="H21" s="130"/>
      <c r="I21" s="131"/>
      <c r="J21" s="132"/>
      <c r="K21" s="129">
        <f>IF('Complementary List'!H21="","",'Complementary List'!H21)</f>
      </c>
      <c r="L21" s="131"/>
      <c r="M21" s="132"/>
      <c r="N21" s="45" t="e">
        <f>IF(#REF!="",0,(VLOOKUP(#REF!,$Q$10:$U$16,4,FALSE)))</f>
        <v>#REF!</v>
      </c>
      <c r="O21" s="45">
        <f>IF(L21="",0,(VLOOKUP(#REF!,$Q$10:$U$16,5,FALSE)))</f>
        <v>0</v>
      </c>
      <c r="P21" s="22"/>
      <c r="Q21" s="48" t="s">
        <v>31</v>
      </c>
      <c r="R21" s="40">
        <v>13</v>
      </c>
    </row>
    <row r="22" spans="1:18" ht="19.5" customHeight="1">
      <c r="A22" s="46">
        <v>12</v>
      </c>
      <c r="B22" s="128">
        <f>IF('Complementary List'!B22="","",'Complementary List'!B22)</f>
      </c>
      <c r="C22" s="128">
        <f>IF('Complementary List'!C22="","",'Complementary List'!C22)</f>
      </c>
      <c r="D22" s="129">
        <f>IF('Complementary List'!F22="","",'Complementary List'!F22)</f>
      </c>
      <c r="E22" s="129">
        <f>IF('Complementary List'!E22="","",'Complementary List'!E22)</f>
      </c>
      <c r="F22" s="130"/>
      <c r="G22" s="129">
        <f>IF('Complementary List'!G22="","",'Complementary List'!G22)</f>
      </c>
      <c r="H22" s="130"/>
      <c r="I22" s="131"/>
      <c r="J22" s="132"/>
      <c r="K22" s="129">
        <f>IF('Complementary List'!H22="","",'Complementary List'!H22)</f>
      </c>
      <c r="L22" s="131"/>
      <c r="M22" s="132"/>
      <c r="N22" s="45" t="e">
        <f>IF(#REF!="",0,(VLOOKUP(#REF!,$Q$10:$U$16,4,FALSE)))</f>
        <v>#REF!</v>
      </c>
      <c r="O22" s="45">
        <f>IF(L22="",0,(VLOOKUP(#REF!,$Q$10:$U$16,5,FALSE)))</f>
        <v>0</v>
      </c>
      <c r="P22" s="22"/>
      <c r="Q22" s="48" t="s">
        <v>32</v>
      </c>
      <c r="R22" s="40">
        <v>13</v>
      </c>
    </row>
    <row r="23" spans="1:18" ht="19.5" customHeight="1">
      <c r="A23" s="46">
        <v>13</v>
      </c>
      <c r="B23" s="128">
        <f>IF('Complementary List'!B23="","",'Complementary List'!B23)</f>
      </c>
      <c r="C23" s="128">
        <f>IF('Complementary List'!C23="","",'Complementary List'!C23)</f>
      </c>
      <c r="D23" s="129">
        <f>IF('Complementary List'!F23="","",'Complementary List'!F23)</f>
      </c>
      <c r="E23" s="129">
        <f>IF('Complementary List'!E23="","",'Complementary List'!E23)</f>
      </c>
      <c r="F23" s="130"/>
      <c r="G23" s="129">
        <f>IF('Complementary List'!G23="","",'Complementary List'!G23)</f>
      </c>
      <c r="H23" s="130"/>
      <c r="I23" s="131"/>
      <c r="J23" s="132"/>
      <c r="K23" s="129">
        <f>IF('Complementary List'!H23="","",'Complementary List'!H23)</f>
      </c>
      <c r="L23" s="131"/>
      <c r="M23" s="132"/>
      <c r="N23" s="45" t="e">
        <f>IF(#REF!="",0,(VLOOKUP(#REF!,$Q$10:$U$16,4,FALSE)))</f>
        <v>#REF!</v>
      </c>
      <c r="O23" s="45">
        <f>IF(L23="",0,(VLOOKUP(#REF!,$Q$10:$U$16,5,FALSE)))</f>
        <v>0</v>
      </c>
      <c r="P23" s="22"/>
      <c r="Q23" s="48" t="s">
        <v>33</v>
      </c>
      <c r="R23" s="40">
        <v>13</v>
      </c>
    </row>
    <row r="24" spans="1:18" ht="19.5" customHeight="1">
      <c r="A24" s="46">
        <v>14</v>
      </c>
      <c r="B24" s="128">
        <f>IF('Complementary List'!B24="","",'Complementary List'!B24)</f>
      </c>
      <c r="C24" s="128">
        <f>IF('Complementary List'!C24="","",'Complementary List'!C24)</f>
      </c>
      <c r="D24" s="129">
        <f>IF('Complementary List'!F24="","",'Complementary List'!F24)</f>
      </c>
      <c r="E24" s="129">
        <f>IF('Complementary List'!E24="","",'Complementary List'!E24)</f>
      </c>
      <c r="F24" s="130"/>
      <c r="G24" s="129">
        <f>IF('Complementary List'!G24="","",'Complementary List'!G24)</f>
      </c>
      <c r="H24" s="130"/>
      <c r="I24" s="131"/>
      <c r="J24" s="132"/>
      <c r="K24" s="129">
        <f>IF('Complementary List'!H24="","",'Complementary List'!H24)</f>
      </c>
      <c r="L24" s="131"/>
      <c r="M24" s="132"/>
      <c r="N24" s="45" t="e">
        <f>IF(#REF!="",0,(VLOOKUP(#REF!,$Q$10:$U$16,4,FALSE)))</f>
        <v>#REF!</v>
      </c>
      <c r="O24" s="45">
        <f>IF(L24="",0,(VLOOKUP(#REF!,$Q$10:$U$16,5,FALSE)))</f>
        <v>0</v>
      </c>
      <c r="P24" s="22"/>
      <c r="Q24" s="48" t="s">
        <v>34</v>
      </c>
      <c r="R24" s="40">
        <v>20</v>
      </c>
    </row>
    <row r="25" spans="1:18" ht="19.5" customHeight="1">
      <c r="A25" s="46">
        <v>15</v>
      </c>
      <c r="B25" s="128">
        <f>IF('Complementary List'!B25="","",'Complementary List'!B25)</f>
      </c>
      <c r="C25" s="128">
        <f>IF('Complementary List'!C25="","",'Complementary List'!C25)</f>
      </c>
      <c r="D25" s="129">
        <f>IF('Complementary List'!F25="","",'Complementary List'!F25)</f>
      </c>
      <c r="E25" s="129">
        <f>IF('Complementary List'!E25="","",'Complementary List'!E25)</f>
      </c>
      <c r="F25" s="130"/>
      <c r="G25" s="129">
        <f>IF('Complementary List'!G25="","",'Complementary List'!G25)</f>
      </c>
      <c r="H25" s="130"/>
      <c r="I25" s="131"/>
      <c r="J25" s="132"/>
      <c r="K25" s="129">
        <f>IF('Complementary List'!H25="","",'Complementary List'!H25)</f>
      </c>
      <c r="L25" s="131"/>
      <c r="M25" s="132"/>
      <c r="N25" s="45" t="e">
        <f>IF(#REF!="",0,(VLOOKUP(#REF!,$Q$10:$U$16,4,FALSE)))</f>
        <v>#REF!</v>
      </c>
      <c r="O25" s="45">
        <f>IF(L25="",0,(VLOOKUP(#REF!,$Q$10:$U$16,5,FALSE)))</f>
        <v>0</v>
      </c>
      <c r="P25" s="22"/>
      <c r="Q25" s="48" t="s">
        <v>35</v>
      </c>
      <c r="R25" s="40">
        <v>25</v>
      </c>
    </row>
    <row r="26" spans="1:16" ht="12.75" hidden="1">
      <c r="A26" s="61" t="s">
        <v>47</v>
      </c>
      <c r="B26" s="22"/>
      <c r="C26" s="58"/>
      <c r="D26" s="22"/>
      <c r="E26" s="22"/>
      <c r="F26" s="22"/>
      <c r="G26" s="22"/>
      <c r="H26" s="22"/>
      <c r="I26" s="22"/>
      <c r="J26" s="22"/>
      <c r="K26" s="22"/>
      <c r="L26" s="22"/>
      <c r="M26" s="62"/>
      <c r="N26" s="62"/>
      <c r="O26" s="62"/>
      <c r="P26" s="22"/>
    </row>
    <row r="27" spans="1:16" ht="12.75" hidden="1">
      <c r="A27" s="6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62"/>
      <c r="N27" s="62"/>
      <c r="O27" s="62"/>
      <c r="P27" s="22"/>
    </row>
    <row r="28" spans="1:16" ht="12.75" hidden="1">
      <c r="A28" s="6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2"/>
      <c r="N28" s="62"/>
      <c r="O28" s="62"/>
      <c r="P28" s="22"/>
    </row>
    <row r="29" spans="1:16" ht="12.75" hidden="1">
      <c r="A29" s="6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62"/>
      <c r="N29" s="62"/>
      <c r="O29" s="62"/>
      <c r="P29" s="22"/>
    </row>
    <row r="30" ht="12.75" hidden="1"/>
    <row r="31" spans="2:4" ht="12.75" hidden="1">
      <c r="B31" s="1">
        <v>1</v>
      </c>
      <c r="C31" s="1">
        <v>1</v>
      </c>
      <c r="D31" s="1">
        <v>1989</v>
      </c>
    </row>
    <row r="32" spans="2:4" ht="12.75" hidden="1">
      <c r="B32" s="1">
        <v>2</v>
      </c>
      <c r="C32" s="1">
        <v>2</v>
      </c>
      <c r="D32" s="1">
        <v>1990</v>
      </c>
    </row>
    <row r="33" spans="2:4" ht="12.75" hidden="1">
      <c r="B33" s="1">
        <v>3</v>
      </c>
      <c r="C33" s="1">
        <v>3</v>
      </c>
      <c r="D33" s="1">
        <v>1991</v>
      </c>
    </row>
    <row r="34" spans="2:4" ht="12.75" hidden="1">
      <c r="B34" s="1">
        <v>4</v>
      </c>
      <c r="C34" s="1">
        <v>4</v>
      </c>
      <c r="D34" s="1">
        <v>1992</v>
      </c>
    </row>
    <row r="35" spans="2:4" ht="12.75" hidden="1">
      <c r="B35" s="1">
        <v>5</v>
      </c>
      <c r="C35" s="1">
        <v>5</v>
      </c>
      <c r="D35" s="1">
        <v>1993</v>
      </c>
    </row>
    <row r="36" spans="2:4" ht="12.75" hidden="1">
      <c r="B36" s="1">
        <v>6</v>
      </c>
      <c r="C36" s="1">
        <v>6</v>
      </c>
      <c r="D36" s="1">
        <v>1994</v>
      </c>
    </row>
    <row r="37" spans="2:4" ht="12.75" hidden="1">
      <c r="B37" s="1">
        <v>7</v>
      </c>
      <c r="C37" s="1">
        <v>7</v>
      </c>
      <c r="D37" s="1">
        <v>1995</v>
      </c>
    </row>
    <row r="38" spans="2:4" ht="12.75" hidden="1">
      <c r="B38" s="1">
        <v>8</v>
      </c>
      <c r="C38" s="1">
        <v>8</v>
      </c>
      <c r="D38" s="1">
        <v>1996</v>
      </c>
    </row>
    <row r="39" spans="2:4" ht="12.75" hidden="1">
      <c r="B39" s="1">
        <v>9</v>
      </c>
      <c r="C39" s="1">
        <v>9</v>
      </c>
      <c r="D39" s="1">
        <v>1997</v>
      </c>
    </row>
    <row r="40" spans="2:4" ht="12.75" hidden="1">
      <c r="B40" s="1">
        <v>10</v>
      </c>
      <c r="C40" s="1">
        <v>10</v>
      </c>
      <c r="D40" s="1">
        <v>1998</v>
      </c>
    </row>
    <row r="41" spans="2:4" ht="12.75" hidden="1">
      <c r="B41" s="1">
        <v>11</v>
      </c>
      <c r="C41" s="1">
        <v>11</v>
      </c>
      <c r="D41" s="1">
        <v>1999</v>
      </c>
    </row>
    <row r="42" spans="2:4" ht="12.75" hidden="1">
      <c r="B42" s="1">
        <v>12</v>
      </c>
      <c r="C42" s="1">
        <v>12</v>
      </c>
      <c r="D42" s="1">
        <v>2000</v>
      </c>
    </row>
    <row r="43" spans="2:4" ht="12.75" hidden="1">
      <c r="B43" s="1">
        <v>13</v>
      </c>
      <c r="D43" s="1">
        <v>2001</v>
      </c>
    </row>
    <row r="44" spans="2:4" ht="12.75" hidden="1">
      <c r="B44" s="1">
        <v>14</v>
      </c>
      <c r="D44" s="1">
        <v>2002</v>
      </c>
    </row>
    <row r="45" spans="2:4" ht="12.75" hidden="1">
      <c r="B45" s="1">
        <v>15</v>
      </c>
      <c r="D45" s="1">
        <v>2003</v>
      </c>
    </row>
    <row r="46" spans="2:4" ht="12.75" hidden="1">
      <c r="B46" s="1">
        <v>16</v>
      </c>
      <c r="D46" s="1">
        <v>2004</v>
      </c>
    </row>
    <row r="47" spans="2:4" ht="12.75" hidden="1">
      <c r="B47" s="1">
        <v>17</v>
      </c>
      <c r="D47" s="1">
        <v>2005</v>
      </c>
    </row>
    <row r="48" spans="2:4" ht="12.75" hidden="1">
      <c r="B48" s="1">
        <v>18</v>
      </c>
      <c r="D48" s="1">
        <v>2006</v>
      </c>
    </row>
    <row r="49" spans="2:4" ht="12.75" hidden="1">
      <c r="B49" s="1">
        <v>19</v>
      </c>
      <c r="D49" s="1">
        <v>2007</v>
      </c>
    </row>
    <row r="50" ht="12.75" hidden="1">
      <c r="B50" s="1">
        <v>20</v>
      </c>
    </row>
    <row r="51" ht="12.75" hidden="1">
      <c r="B51" s="1">
        <v>21</v>
      </c>
    </row>
    <row r="52" ht="12.75" hidden="1">
      <c r="B52" s="1">
        <v>22</v>
      </c>
    </row>
    <row r="53" ht="12.75" hidden="1">
      <c r="B53" s="1">
        <v>23</v>
      </c>
    </row>
    <row r="54" ht="12.75" hidden="1">
      <c r="B54" s="1">
        <v>24</v>
      </c>
    </row>
    <row r="55" ht="12.75" hidden="1">
      <c r="B55" s="1">
        <v>25</v>
      </c>
    </row>
    <row r="56" ht="12.75" hidden="1">
      <c r="B56" s="1">
        <v>26</v>
      </c>
    </row>
    <row r="57" ht="12.75" hidden="1">
      <c r="B57" s="1">
        <v>27</v>
      </c>
    </row>
    <row r="58" ht="12.75" hidden="1">
      <c r="B58" s="1">
        <v>28</v>
      </c>
    </row>
    <row r="59" ht="12.75" hidden="1">
      <c r="B59" s="1">
        <v>29</v>
      </c>
    </row>
    <row r="60" ht="12.75" hidden="1">
      <c r="B60" s="1">
        <v>30</v>
      </c>
    </row>
    <row r="61" ht="12.75" hidden="1">
      <c r="B61" s="1">
        <v>31</v>
      </c>
    </row>
  </sheetData>
  <sheetProtection sheet="1" objects="1" scenarios="1" selectLockedCells="1"/>
  <mergeCells count="11">
    <mergeCell ref="A8:A9"/>
    <mergeCell ref="B8:B9"/>
    <mergeCell ref="C8:C9"/>
    <mergeCell ref="M4:V4"/>
    <mergeCell ref="M1:M2"/>
    <mergeCell ref="N1:O1"/>
    <mergeCell ref="W1:W2"/>
    <mergeCell ref="I2:K2"/>
    <mergeCell ref="I3:K3"/>
    <mergeCell ref="A6:G6"/>
    <mergeCell ref="H6:K6"/>
  </mergeCells>
  <dataValidations count="1">
    <dataValidation type="list" allowBlank="1" showInputMessage="1" showErrorMessage="1" sqref="F11:F25">
      <formula1>List_Transport</formula1>
    </dataValidation>
  </dataValidations>
  <printOptions/>
  <pageMargins left="0.2" right="0.2" top="0.26" bottom="0.3" header="0.22" footer="0.31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3.57421875" style="0" bestFit="1" customWidth="1"/>
    <col min="2" max="2" width="27.57421875" style="0" bestFit="1" customWidth="1"/>
    <col min="3" max="3" width="3.57421875" style="0" customWidth="1"/>
    <col min="4" max="5" width="11.421875" style="0" customWidth="1"/>
    <col min="6" max="6" width="3.57421875" style="0" customWidth="1"/>
    <col min="7" max="8" width="11.421875" style="0" customWidth="1"/>
    <col min="9" max="9" width="3.57421875" style="0" customWidth="1"/>
    <col min="10" max="11" width="11.421875" style="0" customWidth="1"/>
    <col min="12" max="12" width="3.57421875" style="0" customWidth="1"/>
    <col min="13" max="14" width="11.421875" style="0" customWidth="1"/>
    <col min="15" max="15" width="3.57421875" style="0" customWidth="1"/>
    <col min="16" max="17" width="11.421875" style="0" customWidth="1"/>
    <col min="18" max="18" width="3.57421875" style="0" customWidth="1"/>
    <col min="19" max="19" width="17.57421875" style="0" bestFit="1" customWidth="1"/>
    <col min="20" max="16384" width="11.421875" style="0" customWidth="1"/>
  </cols>
  <sheetData>
    <row r="1" spans="1:22" ht="13.5" thickBot="1">
      <c r="A1" s="94" t="s">
        <v>69</v>
      </c>
      <c r="B1" s="95">
        <v>43700</v>
      </c>
      <c r="D1" s="70" t="s">
        <v>20</v>
      </c>
      <c r="E1" s="71" t="s">
        <v>70</v>
      </c>
      <c r="F1" s="1"/>
      <c r="G1" s="72" t="s">
        <v>71</v>
      </c>
      <c r="H1" s="73" t="s">
        <v>40</v>
      </c>
      <c r="I1" s="1"/>
      <c r="J1" s="74" t="s">
        <v>72</v>
      </c>
      <c r="K1" s="75" t="s">
        <v>42</v>
      </c>
      <c r="M1" s="116" t="s">
        <v>115</v>
      </c>
      <c r="N1" s="76">
        <v>190</v>
      </c>
      <c r="O1" s="1"/>
      <c r="P1" s="70" t="s">
        <v>73</v>
      </c>
      <c r="Q1" s="71" t="s">
        <v>73</v>
      </c>
      <c r="R1" s="1"/>
      <c r="S1" s="77"/>
      <c r="T1" s="111" t="s">
        <v>68</v>
      </c>
      <c r="U1" s="110" t="s">
        <v>18</v>
      </c>
      <c r="V1" s="78" t="s">
        <v>17</v>
      </c>
    </row>
    <row r="2" spans="1:22" ht="13.5" thickBot="1">
      <c r="A2" s="94" t="s">
        <v>74</v>
      </c>
      <c r="B2" s="95">
        <f>B1+2</f>
        <v>43702</v>
      </c>
      <c r="D2" s="79" t="s">
        <v>47</v>
      </c>
      <c r="E2" s="80" t="s">
        <v>75</v>
      </c>
      <c r="F2" s="1"/>
      <c r="G2" s="81" t="s">
        <v>76</v>
      </c>
      <c r="H2" s="82" t="s">
        <v>77</v>
      </c>
      <c r="I2" s="1"/>
      <c r="J2" s="83" t="s">
        <v>78</v>
      </c>
      <c r="K2" s="84" t="s">
        <v>44</v>
      </c>
      <c r="M2" s="79" t="s">
        <v>116</v>
      </c>
      <c r="N2" s="85">
        <v>210</v>
      </c>
      <c r="O2" s="1"/>
      <c r="P2" s="79" t="s">
        <v>79</v>
      </c>
      <c r="Q2" s="80" t="s">
        <v>79</v>
      </c>
      <c r="R2" s="1"/>
      <c r="S2" s="116" t="s">
        <v>117</v>
      </c>
      <c r="T2" s="86">
        <f>210+(3*35)</f>
        <v>315</v>
      </c>
      <c r="U2" s="86">
        <f>35*2</f>
        <v>70</v>
      </c>
      <c r="V2" s="76">
        <v>13</v>
      </c>
    </row>
    <row r="3" spans="1:22" ht="13.5" thickBot="1">
      <c r="A3" s="94" t="s">
        <v>80</v>
      </c>
      <c r="B3" s="119" t="s">
        <v>136</v>
      </c>
      <c r="D3" s="87" t="s">
        <v>81</v>
      </c>
      <c r="E3" s="88" t="s">
        <v>82</v>
      </c>
      <c r="F3" s="1"/>
      <c r="G3" s="1"/>
      <c r="H3" s="1"/>
      <c r="I3" s="1"/>
      <c r="J3" s="83" t="s">
        <v>83</v>
      </c>
      <c r="K3" s="120" t="s">
        <v>132</v>
      </c>
      <c r="M3" s="79" t="s">
        <v>129</v>
      </c>
      <c r="N3" s="85">
        <v>200</v>
      </c>
      <c r="O3" s="1"/>
      <c r="P3" s="87" t="s">
        <v>84</v>
      </c>
      <c r="Q3" s="88" t="s">
        <v>84</v>
      </c>
      <c r="R3" s="1"/>
      <c r="S3" s="117" t="s">
        <v>118</v>
      </c>
      <c r="T3" s="89">
        <v>210</v>
      </c>
      <c r="U3" s="89">
        <v>35</v>
      </c>
      <c r="V3" s="85">
        <v>13</v>
      </c>
    </row>
    <row r="4" spans="1:22" ht="12.75">
      <c r="A4" s="94" t="s">
        <v>85</v>
      </c>
      <c r="B4" s="94" t="s">
        <v>86</v>
      </c>
      <c r="F4" s="1"/>
      <c r="G4" s="1"/>
      <c r="H4" s="1"/>
      <c r="I4" s="1"/>
      <c r="J4" s="83" t="s">
        <v>87</v>
      </c>
      <c r="K4" s="120" t="s">
        <v>137</v>
      </c>
      <c r="M4" s="79" t="s">
        <v>17</v>
      </c>
      <c r="N4" s="85">
        <v>13</v>
      </c>
      <c r="O4" s="1"/>
      <c r="R4" s="1"/>
      <c r="S4" s="117" t="s">
        <v>119</v>
      </c>
      <c r="T4" s="89">
        <v>190</v>
      </c>
      <c r="U4" s="89">
        <v>30</v>
      </c>
      <c r="V4" s="85">
        <v>13</v>
      </c>
    </row>
    <row r="5" spans="1:22" ht="12.75">
      <c r="A5" s="94" t="s">
        <v>89</v>
      </c>
      <c r="B5" s="96" t="s">
        <v>0</v>
      </c>
      <c r="F5" s="1"/>
      <c r="G5" s="1"/>
      <c r="H5" s="1"/>
      <c r="I5" s="1"/>
      <c r="J5" s="83" t="s">
        <v>90</v>
      </c>
      <c r="K5" s="120" t="s">
        <v>133</v>
      </c>
      <c r="M5" s="79" t="s">
        <v>88</v>
      </c>
      <c r="N5" s="85">
        <v>25</v>
      </c>
      <c r="O5" s="1"/>
      <c r="R5" s="1"/>
      <c r="S5" s="117" t="s">
        <v>120</v>
      </c>
      <c r="T5" s="89">
        <f>190+(3*25)</f>
        <v>265</v>
      </c>
      <c r="U5" s="89">
        <f>25*2</f>
        <v>50</v>
      </c>
      <c r="V5" s="85">
        <v>13</v>
      </c>
    </row>
    <row r="6" spans="1:22" ht="13.5" thickBot="1">
      <c r="A6" s="97" t="s">
        <v>93</v>
      </c>
      <c r="B6" s="98" t="str">
        <f>B4&amp;" "&amp;TEXT(Informations!$B$1,"jj")&amp;"-"&amp;TEXT(Informations!$B$2,"jj/mm/aaaa")</f>
        <v>SCHILTIGHEIM 23-25/08/2019</v>
      </c>
      <c r="F6" s="1"/>
      <c r="G6" s="1"/>
      <c r="H6" s="1"/>
      <c r="I6" s="1"/>
      <c r="J6" s="90" t="s">
        <v>92</v>
      </c>
      <c r="K6" s="121" t="s">
        <v>138</v>
      </c>
      <c r="M6" s="87" t="s">
        <v>91</v>
      </c>
      <c r="N6" s="91">
        <v>35</v>
      </c>
      <c r="O6" s="1"/>
      <c r="R6" s="1"/>
      <c r="S6" s="117" t="s">
        <v>121</v>
      </c>
      <c r="T6" s="89">
        <v>190</v>
      </c>
      <c r="U6" s="89">
        <v>25</v>
      </c>
      <c r="V6" s="85">
        <v>13</v>
      </c>
    </row>
    <row r="7" spans="1:22" ht="12.75">
      <c r="A7" s="97" t="s">
        <v>94</v>
      </c>
      <c r="B7" s="95">
        <f ca="1">TODAY()</f>
        <v>43606</v>
      </c>
      <c r="F7" s="1"/>
      <c r="G7" s="1"/>
      <c r="H7" s="1"/>
      <c r="I7" s="1"/>
      <c r="N7" s="92"/>
      <c r="O7" s="1"/>
      <c r="R7" s="1"/>
      <c r="S7" s="122" t="s">
        <v>122</v>
      </c>
      <c r="T7" s="123">
        <v>170</v>
      </c>
      <c r="U7" s="123">
        <v>20</v>
      </c>
      <c r="V7" s="124">
        <v>13</v>
      </c>
    </row>
    <row r="8" spans="1:22" ht="13.5" thickBot="1">
      <c r="A8" s="99" t="s">
        <v>95</v>
      </c>
      <c r="B8" s="95">
        <f>DATE(YEAR($B$1),6,8)</f>
        <v>43624</v>
      </c>
      <c r="N8" s="92"/>
      <c r="S8" s="118" t="s">
        <v>128</v>
      </c>
      <c r="T8" s="93">
        <v>200</v>
      </c>
      <c r="U8" s="93"/>
      <c r="V8" s="91">
        <v>13</v>
      </c>
    </row>
    <row r="9" spans="1:14" ht="12.75">
      <c r="A9" s="99" t="s">
        <v>96</v>
      </c>
      <c r="B9" s="95">
        <f>DATE(YEAR($B$1),7,5)</f>
        <v>43651</v>
      </c>
      <c r="N9" s="92"/>
    </row>
    <row r="10" spans="1:14" ht="12.75">
      <c r="A10" s="100"/>
      <c r="N10" s="92"/>
    </row>
  </sheetData>
  <sheetProtection/>
  <hyperlinks>
    <hyperlink ref="B5" r:id="rId1" display="http://www.eurominichamp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FULLENWARTH Raymond SA CL EXCEPT</dc:creator>
  <cp:keywords/>
  <dc:description/>
  <cp:lastModifiedBy>Carsten Egeholt</cp:lastModifiedBy>
  <cp:lastPrinted>2019-05-12T18:30:57Z</cp:lastPrinted>
  <dcterms:created xsi:type="dcterms:W3CDTF">2015-04-09T06:10:20Z</dcterms:created>
  <dcterms:modified xsi:type="dcterms:W3CDTF">2019-05-21T13:51:57Z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